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3.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4.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5.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drawings/drawing6.xml" ContentType="application/vnd.openxmlformats-officedocument.drawing+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drawings/drawing7.xml" ContentType="application/vnd.openxmlformats-officedocument.drawing+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drawings/drawing8.xml" ContentType="application/vnd.openxmlformats-officedocument.drawing+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drawings/drawing9.xml" ContentType="application/vnd.openxmlformats-officedocument.drawing+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drawings/drawing10.xml" ContentType="application/vnd.openxmlformats-officedocument.drawing+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drawings/drawing11.xml" ContentType="application/vnd.openxmlformats-officedocument.drawing+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drawings/drawing12.xml" ContentType="application/vnd.openxmlformats-officedocument.drawing+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drawings/drawing13.xml" ContentType="application/vnd.openxmlformats-officedocument.drawing+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8_{97C8DF49-D199-4A8A-863F-9BDF786B2A1A}" xr6:coauthVersionLast="47" xr6:coauthVersionMax="47" xr10:uidLastSave="{00000000-0000-0000-0000-000000000000}"/>
  <bookViews>
    <workbookView xWindow="-108" yWindow="-108" windowWidth="23256" windowHeight="12576" xr2:uid="{00000000-000D-0000-FFFF-FFFF00000000}"/>
  </bookViews>
  <sheets>
    <sheet name="Início" sheetId="2" r:id="rId1"/>
    <sheet name="Jan" sheetId="1" r:id="rId2"/>
    <sheet name="Fev" sheetId="5" r:id="rId3"/>
    <sheet name="Mar" sheetId="6" r:id="rId4"/>
    <sheet name="Abr" sheetId="16" r:id="rId5"/>
    <sheet name="Mai" sheetId="8" r:id="rId6"/>
    <sheet name="Jun" sheetId="9" r:id="rId7"/>
    <sheet name="Jul" sheetId="10" r:id="rId8"/>
    <sheet name="Ago" sheetId="11" r:id="rId9"/>
    <sheet name="Set" sheetId="12" r:id="rId10"/>
    <sheet name="Out" sheetId="13" r:id="rId11"/>
    <sheet name="Nov" sheetId="14" r:id="rId12"/>
    <sheet name="Dez" sheetId="15" r:id="rId13"/>
    <sheet name="Consolidado" sheetId="17"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8" i="15" l="1"/>
  <c r="G58" i="15"/>
  <c r="C58" i="15"/>
  <c r="B58" i="15"/>
  <c r="I57" i="15"/>
  <c r="D57" i="15"/>
  <c r="I56" i="15"/>
  <c r="D56" i="15"/>
  <c r="I55" i="15"/>
  <c r="D55" i="15"/>
  <c r="I54" i="15"/>
  <c r="D54" i="15"/>
  <c r="I53" i="15"/>
  <c r="D53" i="15"/>
  <c r="I52" i="15"/>
  <c r="D52" i="15"/>
  <c r="I51" i="15"/>
  <c r="D51" i="15"/>
  <c r="H47" i="15"/>
  <c r="G47" i="15"/>
  <c r="C47" i="15"/>
  <c r="B47" i="15"/>
  <c r="I46" i="15"/>
  <c r="D46" i="15"/>
  <c r="I45" i="15"/>
  <c r="D45" i="15"/>
  <c r="I44" i="15"/>
  <c r="D44" i="15"/>
  <c r="I43" i="15"/>
  <c r="D43" i="15"/>
  <c r="I42" i="15"/>
  <c r="D42" i="15"/>
  <c r="I41" i="15"/>
  <c r="D41" i="15"/>
  <c r="I40" i="15"/>
  <c r="D40" i="15"/>
  <c r="H36" i="15"/>
  <c r="G36" i="15"/>
  <c r="C36" i="15"/>
  <c r="B36" i="15"/>
  <c r="I35" i="15"/>
  <c r="D35" i="15"/>
  <c r="I34" i="15"/>
  <c r="D34" i="15"/>
  <c r="I33" i="15"/>
  <c r="D33" i="15"/>
  <c r="I32" i="15"/>
  <c r="D32" i="15"/>
  <c r="I31" i="15"/>
  <c r="D31" i="15"/>
  <c r="I30" i="15"/>
  <c r="D30" i="15"/>
  <c r="I29" i="15"/>
  <c r="D29" i="15"/>
  <c r="H25" i="15"/>
  <c r="G25" i="15"/>
  <c r="C25" i="15"/>
  <c r="B25" i="15"/>
  <c r="I24" i="15"/>
  <c r="D24" i="15"/>
  <c r="I23" i="15"/>
  <c r="D23" i="15"/>
  <c r="I22" i="15"/>
  <c r="D22" i="15"/>
  <c r="I21" i="15"/>
  <c r="D21" i="15"/>
  <c r="I20" i="15"/>
  <c r="D20" i="15"/>
  <c r="I19" i="15"/>
  <c r="D19" i="15"/>
  <c r="I18" i="15"/>
  <c r="I25" i="15" s="1"/>
  <c r="D18" i="15"/>
  <c r="D25" i="15" s="1"/>
  <c r="B13" i="15"/>
  <c r="B12" i="15"/>
  <c r="B9" i="15"/>
  <c r="F8" i="15" s="1"/>
  <c r="H4" i="15" s="1"/>
  <c r="K5" i="15"/>
  <c r="A1" i="15"/>
  <c r="H58" i="14"/>
  <c r="G58" i="14"/>
  <c r="C58" i="14"/>
  <c r="B58" i="14"/>
  <c r="I57" i="14"/>
  <c r="D57" i="14"/>
  <c r="I56" i="14"/>
  <c r="D56" i="14"/>
  <c r="I55" i="14"/>
  <c r="D55" i="14"/>
  <c r="I54" i="14"/>
  <c r="D54" i="14"/>
  <c r="I53" i="14"/>
  <c r="D53" i="14"/>
  <c r="I52" i="14"/>
  <c r="I58" i="14" s="1"/>
  <c r="D52" i="14"/>
  <c r="I51" i="14"/>
  <c r="D51" i="14"/>
  <c r="D58" i="14" s="1"/>
  <c r="H47" i="14"/>
  <c r="G47" i="14"/>
  <c r="C47" i="14"/>
  <c r="B47" i="14"/>
  <c r="I46" i="14"/>
  <c r="D46" i="14"/>
  <c r="I45" i="14"/>
  <c r="D45" i="14"/>
  <c r="I44" i="14"/>
  <c r="D44" i="14"/>
  <c r="I43" i="14"/>
  <c r="D43" i="14"/>
  <c r="I42" i="14"/>
  <c r="D42" i="14"/>
  <c r="I41" i="14"/>
  <c r="D41" i="14"/>
  <c r="I40" i="14"/>
  <c r="I47" i="14" s="1"/>
  <c r="D40" i="14"/>
  <c r="D47" i="14" s="1"/>
  <c r="H36" i="14"/>
  <c r="G36" i="14"/>
  <c r="C36" i="14"/>
  <c r="B36" i="14"/>
  <c r="I35" i="14"/>
  <c r="D35" i="14"/>
  <c r="I34" i="14"/>
  <c r="D34" i="14"/>
  <c r="I33" i="14"/>
  <c r="D33" i="14"/>
  <c r="I32" i="14"/>
  <c r="D32" i="14"/>
  <c r="I31" i="14"/>
  <c r="D31" i="14"/>
  <c r="D36" i="14" s="1"/>
  <c r="I30" i="14"/>
  <c r="I36" i="14" s="1"/>
  <c r="D30" i="14"/>
  <c r="I29" i="14"/>
  <c r="D29" i="14"/>
  <c r="H25" i="14"/>
  <c r="G25" i="14"/>
  <c r="C25" i="14"/>
  <c r="B25" i="14"/>
  <c r="I24" i="14"/>
  <c r="D24" i="14"/>
  <c r="I23" i="14"/>
  <c r="D23" i="14"/>
  <c r="I22" i="14"/>
  <c r="D22" i="14"/>
  <c r="I21" i="14"/>
  <c r="D21" i="14"/>
  <c r="I20" i="14"/>
  <c r="D20" i="14"/>
  <c r="I19" i="14"/>
  <c r="D19" i="14"/>
  <c r="I18" i="14"/>
  <c r="I25" i="14" s="1"/>
  <c r="D18" i="14"/>
  <c r="D25" i="14" s="1"/>
  <c r="B13" i="14"/>
  <c r="B12" i="14"/>
  <c r="B14" i="14" s="1"/>
  <c r="C14" i="14" s="1"/>
  <c r="B9" i="14"/>
  <c r="F8" i="14" s="1"/>
  <c r="H4" i="14" s="1"/>
  <c r="K5" i="14"/>
  <c r="A1" i="14"/>
  <c r="H58" i="13"/>
  <c r="G58" i="13"/>
  <c r="C58" i="13"/>
  <c r="B58" i="13"/>
  <c r="I57" i="13"/>
  <c r="D57" i="13"/>
  <c r="I56" i="13"/>
  <c r="D56" i="13"/>
  <c r="I55" i="13"/>
  <c r="D55" i="13"/>
  <c r="I54" i="13"/>
  <c r="D54" i="13"/>
  <c r="I53" i="13"/>
  <c r="D53" i="13"/>
  <c r="I52" i="13"/>
  <c r="I58" i="13" s="1"/>
  <c r="D52" i="13"/>
  <c r="I51" i="13"/>
  <c r="D51" i="13"/>
  <c r="D58" i="13" s="1"/>
  <c r="H47" i="13"/>
  <c r="G47" i="13"/>
  <c r="C47" i="13"/>
  <c r="B47" i="13"/>
  <c r="I46" i="13"/>
  <c r="D46" i="13"/>
  <c r="I45" i="13"/>
  <c r="D45" i="13"/>
  <c r="I44" i="13"/>
  <c r="D44" i="13"/>
  <c r="I43" i="13"/>
  <c r="D43" i="13"/>
  <c r="I42" i="13"/>
  <c r="D42" i="13"/>
  <c r="I41" i="13"/>
  <c r="D41" i="13"/>
  <c r="I40" i="13"/>
  <c r="I47" i="13" s="1"/>
  <c r="D40" i="13"/>
  <c r="D47" i="13" s="1"/>
  <c r="H36" i="13"/>
  <c r="G36" i="13"/>
  <c r="C36" i="13"/>
  <c r="B36" i="13"/>
  <c r="I35" i="13"/>
  <c r="D35" i="13"/>
  <c r="I34" i="13"/>
  <c r="D34" i="13"/>
  <c r="I33" i="13"/>
  <c r="D33" i="13"/>
  <c r="I32" i="13"/>
  <c r="D32" i="13"/>
  <c r="I31" i="13"/>
  <c r="D31" i="13"/>
  <c r="I30" i="13"/>
  <c r="I36" i="13" s="1"/>
  <c r="D30" i="13"/>
  <c r="I29" i="13"/>
  <c r="D29" i="13"/>
  <c r="D36" i="13" s="1"/>
  <c r="H25" i="13"/>
  <c r="G25" i="13"/>
  <c r="C25" i="13"/>
  <c r="B25" i="13"/>
  <c r="I24" i="13"/>
  <c r="D24" i="13"/>
  <c r="I23" i="13"/>
  <c r="D23" i="13"/>
  <c r="I22" i="13"/>
  <c r="D22" i="13"/>
  <c r="I21" i="13"/>
  <c r="D21" i="13"/>
  <c r="I20" i="13"/>
  <c r="D20" i="13"/>
  <c r="I19" i="13"/>
  <c r="D19" i="13"/>
  <c r="I18" i="13"/>
  <c r="I25" i="13" s="1"/>
  <c r="D18" i="13"/>
  <c r="D25" i="13" s="1"/>
  <c r="B13" i="13"/>
  <c r="B12" i="13"/>
  <c r="B14" i="13" s="1"/>
  <c r="C14" i="13" s="1"/>
  <c r="B9" i="13"/>
  <c r="F8" i="13" s="1"/>
  <c r="H4" i="13" s="1"/>
  <c r="K5" i="13"/>
  <c r="A1" i="13"/>
  <c r="H58" i="12"/>
  <c r="G58" i="12"/>
  <c r="C58" i="12"/>
  <c r="B58" i="12"/>
  <c r="I57" i="12"/>
  <c r="D57" i="12"/>
  <c r="I56" i="12"/>
  <c r="D56" i="12"/>
  <c r="I55" i="12"/>
  <c r="D55" i="12"/>
  <c r="I54" i="12"/>
  <c r="D54" i="12"/>
  <c r="I53" i="12"/>
  <c r="D53" i="12"/>
  <c r="I52" i="12"/>
  <c r="D52" i="12"/>
  <c r="I51" i="12"/>
  <c r="I58" i="12" s="1"/>
  <c r="D51" i="12"/>
  <c r="D58" i="12" s="1"/>
  <c r="H47" i="12"/>
  <c r="G47" i="12"/>
  <c r="C47" i="12"/>
  <c r="B47" i="12"/>
  <c r="I46" i="12"/>
  <c r="D46" i="12"/>
  <c r="I45" i="12"/>
  <c r="D45" i="12"/>
  <c r="I44" i="12"/>
  <c r="D44" i="12"/>
  <c r="I43" i="12"/>
  <c r="D43" i="12"/>
  <c r="I42" i="12"/>
  <c r="D42" i="12"/>
  <c r="I41" i="12"/>
  <c r="D41" i="12"/>
  <c r="I40" i="12"/>
  <c r="I47" i="12" s="1"/>
  <c r="D40" i="12"/>
  <c r="D47" i="12" s="1"/>
  <c r="H36" i="12"/>
  <c r="G36" i="12"/>
  <c r="C36" i="12"/>
  <c r="B36" i="12"/>
  <c r="I35" i="12"/>
  <c r="D35" i="12"/>
  <c r="I34" i="12"/>
  <c r="D34" i="12"/>
  <c r="I33" i="12"/>
  <c r="D33" i="12"/>
  <c r="I32" i="12"/>
  <c r="D32" i="12"/>
  <c r="I31" i="12"/>
  <c r="D31" i="12"/>
  <c r="I30" i="12"/>
  <c r="D30" i="12"/>
  <c r="I29" i="12"/>
  <c r="I36" i="12" s="1"/>
  <c r="D29" i="12"/>
  <c r="D36" i="12" s="1"/>
  <c r="H25" i="12"/>
  <c r="G25" i="12"/>
  <c r="C25" i="12"/>
  <c r="B25" i="12"/>
  <c r="I24" i="12"/>
  <c r="D24" i="12"/>
  <c r="I23" i="12"/>
  <c r="D23" i="12"/>
  <c r="I22" i="12"/>
  <c r="D22" i="12"/>
  <c r="I21" i="12"/>
  <c r="D21" i="12"/>
  <c r="I20" i="12"/>
  <c r="D20" i="12"/>
  <c r="I19" i="12"/>
  <c r="D19" i="12"/>
  <c r="I18" i="12"/>
  <c r="I25" i="12" s="1"/>
  <c r="D18" i="12"/>
  <c r="D25" i="12" s="1"/>
  <c r="B13" i="12"/>
  <c r="F8" i="12" s="1"/>
  <c r="H4" i="12" s="1"/>
  <c r="B12" i="12"/>
  <c r="B14" i="12" s="1"/>
  <c r="C14" i="12" s="1"/>
  <c r="B9" i="12"/>
  <c r="F6" i="12" s="1"/>
  <c r="K5" i="12"/>
  <c r="A1" i="12"/>
  <c r="H58" i="11"/>
  <c r="G58" i="11"/>
  <c r="C58" i="11"/>
  <c r="B58" i="11"/>
  <c r="I57" i="11"/>
  <c r="D57" i="11"/>
  <c r="I56" i="11"/>
  <c r="D56" i="11"/>
  <c r="I55" i="11"/>
  <c r="D55" i="11"/>
  <c r="I54" i="11"/>
  <c r="D54" i="11"/>
  <c r="I53" i="11"/>
  <c r="D53" i="11"/>
  <c r="I52" i="11"/>
  <c r="D52" i="11"/>
  <c r="I51" i="11"/>
  <c r="I58" i="11" s="1"/>
  <c r="D51" i="11"/>
  <c r="D58" i="11" s="1"/>
  <c r="H47" i="11"/>
  <c r="G47" i="11"/>
  <c r="C47" i="11"/>
  <c r="B47" i="11"/>
  <c r="I46" i="11"/>
  <c r="D46" i="11"/>
  <c r="I45" i="11"/>
  <c r="D45" i="11"/>
  <c r="I44" i="11"/>
  <c r="D44" i="11"/>
  <c r="I43" i="11"/>
  <c r="D43" i="11"/>
  <c r="I42" i="11"/>
  <c r="D42" i="11"/>
  <c r="I41" i="11"/>
  <c r="D41" i="11"/>
  <c r="I40" i="11"/>
  <c r="I47" i="11" s="1"/>
  <c r="D40" i="11"/>
  <c r="D47" i="11" s="1"/>
  <c r="H36" i="11"/>
  <c r="G36" i="11"/>
  <c r="C36" i="11"/>
  <c r="B36" i="11"/>
  <c r="I35" i="11"/>
  <c r="D35" i="11"/>
  <c r="I34" i="11"/>
  <c r="D34" i="11"/>
  <c r="I33" i="11"/>
  <c r="D33" i="11"/>
  <c r="I32" i="11"/>
  <c r="D32" i="11"/>
  <c r="I31" i="11"/>
  <c r="D31" i="11"/>
  <c r="I30" i="11"/>
  <c r="D30" i="11"/>
  <c r="I29" i="11"/>
  <c r="I36" i="11" s="1"/>
  <c r="D29" i="11"/>
  <c r="D36" i="11" s="1"/>
  <c r="H25" i="11"/>
  <c r="G25" i="11"/>
  <c r="C25" i="11"/>
  <c r="B25" i="11"/>
  <c r="I24" i="11"/>
  <c r="D24" i="11"/>
  <c r="I23" i="11"/>
  <c r="D23" i="11"/>
  <c r="I22" i="11"/>
  <c r="D22" i="11"/>
  <c r="I21" i="11"/>
  <c r="D21" i="11"/>
  <c r="I20" i="11"/>
  <c r="D20" i="11"/>
  <c r="I19" i="11"/>
  <c r="D19" i="11"/>
  <c r="I18" i="11"/>
  <c r="I25" i="11" s="1"/>
  <c r="D18" i="11"/>
  <c r="D25" i="11" s="1"/>
  <c r="B13" i="11"/>
  <c r="B12" i="11"/>
  <c r="B14" i="11" s="1"/>
  <c r="C14" i="11" s="1"/>
  <c r="B9" i="11"/>
  <c r="F8" i="11"/>
  <c r="H4" i="11" s="1"/>
  <c r="F6" i="11"/>
  <c r="K5" i="11"/>
  <c r="A1" i="11"/>
  <c r="H58" i="10"/>
  <c r="G58" i="10"/>
  <c r="C58" i="10"/>
  <c r="B58" i="10"/>
  <c r="I57" i="10"/>
  <c r="D57" i="10"/>
  <c r="I56" i="10"/>
  <c r="D56" i="10"/>
  <c r="I55" i="10"/>
  <c r="D55" i="10"/>
  <c r="I54" i="10"/>
  <c r="D54" i="10"/>
  <c r="I53" i="10"/>
  <c r="D53" i="10"/>
  <c r="I52" i="10"/>
  <c r="D52" i="10"/>
  <c r="I51" i="10"/>
  <c r="I58" i="10" s="1"/>
  <c r="D51" i="10"/>
  <c r="D58" i="10" s="1"/>
  <c r="H47" i="10"/>
  <c r="G47" i="10"/>
  <c r="D47" i="10"/>
  <c r="C47" i="10"/>
  <c r="B47" i="10"/>
  <c r="I46" i="10"/>
  <c r="D46" i="10"/>
  <c r="I45" i="10"/>
  <c r="D45" i="10"/>
  <c r="I44" i="10"/>
  <c r="D44" i="10"/>
  <c r="I43" i="10"/>
  <c r="D43" i="10"/>
  <c r="I42" i="10"/>
  <c r="D42" i="10"/>
  <c r="I41" i="10"/>
  <c r="I47" i="10" s="1"/>
  <c r="D41" i="10"/>
  <c r="I40" i="10"/>
  <c r="D40" i="10"/>
  <c r="H36" i="10"/>
  <c r="G36" i="10"/>
  <c r="C36" i="10"/>
  <c r="B36" i="10"/>
  <c r="I35" i="10"/>
  <c r="D35" i="10"/>
  <c r="I34" i="10"/>
  <c r="D34" i="10"/>
  <c r="I33" i="10"/>
  <c r="D33" i="10"/>
  <c r="I32" i="10"/>
  <c r="D32" i="10"/>
  <c r="I31" i="10"/>
  <c r="D31" i="10"/>
  <c r="I30" i="10"/>
  <c r="D30" i="10"/>
  <c r="I29" i="10"/>
  <c r="I36" i="10" s="1"/>
  <c r="D29" i="10"/>
  <c r="D36" i="10" s="1"/>
  <c r="H25" i="10"/>
  <c r="G25" i="10"/>
  <c r="C25" i="10"/>
  <c r="B25" i="10"/>
  <c r="I24" i="10"/>
  <c r="D24" i="10"/>
  <c r="I23" i="10"/>
  <c r="D23" i="10"/>
  <c r="I22" i="10"/>
  <c r="D22" i="10"/>
  <c r="I21" i="10"/>
  <c r="D21" i="10"/>
  <c r="I20" i="10"/>
  <c r="D20" i="10"/>
  <c r="I19" i="10"/>
  <c r="I25" i="10" s="1"/>
  <c r="D19" i="10"/>
  <c r="I18" i="10"/>
  <c r="D18" i="10"/>
  <c r="D25" i="10" s="1"/>
  <c r="B14" i="10"/>
  <c r="C14" i="10" s="1"/>
  <c r="B13" i="10"/>
  <c r="B12" i="10"/>
  <c r="B9" i="10"/>
  <c r="F8" i="10" s="1"/>
  <c r="H4" i="10" s="1"/>
  <c r="K5" i="10"/>
  <c r="A1" i="10"/>
  <c r="H58" i="9"/>
  <c r="G58" i="9"/>
  <c r="C58" i="9"/>
  <c r="B58" i="9"/>
  <c r="I57" i="9"/>
  <c r="D57" i="9"/>
  <c r="I56" i="9"/>
  <c r="D56" i="9"/>
  <c r="I55" i="9"/>
  <c r="D55" i="9"/>
  <c r="I54" i="9"/>
  <c r="D54" i="9"/>
  <c r="I53" i="9"/>
  <c r="D53" i="9"/>
  <c r="I52" i="9"/>
  <c r="D52" i="9"/>
  <c r="I51" i="9"/>
  <c r="I58" i="9" s="1"/>
  <c r="D51" i="9"/>
  <c r="D58" i="9" s="1"/>
  <c r="H47" i="9"/>
  <c r="G47" i="9"/>
  <c r="C47" i="9"/>
  <c r="B47" i="9"/>
  <c r="I46" i="9"/>
  <c r="D46" i="9"/>
  <c r="I45" i="9"/>
  <c r="D45" i="9"/>
  <c r="I44" i="9"/>
  <c r="D44" i="9"/>
  <c r="D47" i="9" s="1"/>
  <c r="I43" i="9"/>
  <c r="D43" i="9"/>
  <c r="I42" i="9"/>
  <c r="D42" i="9"/>
  <c r="I41" i="9"/>
  <c r="D41" i="9"/>
  <c r="I40" i="9"/>
  <c r="I47" i="9" s="1"/>
  <c r="D40" i="9"/>
  <c r="H36" i="9"/>
  <c r="G36" i="9"/>
  <c r="C36" i="9"/>
  <c r="B36" i="9"/>
  <c r="I35" i="9"/>
  <c r="D35" i="9"/>
  <c r="I34" i="9"/>
  <c r="D34" i="9"/>
  <c r="I33" i="9"/>
  <c r="D33" i="9"/>
  <c r="I32" i="9"/>
  <c r="D32" i="9"/>
  <c r="I31" i="9"/>
  <c r="D31" i="9"/>
  <c r="I30" i="9"/>
  <c r="D30" i="9"/>
  <c r="I29" i="9"/>
  <c r="I36" i="9" s="1"/>
  <c r="D29" i="9"/>
  <c r="D36" i="9" s="1"/>
  <c r="H25" i="9"/>
  <c r="G25" i="9"/>
  <c r="D25" i="9"/>
  <c r="C25" i="9"/>
  <c r="B25" i="9"/>
  <c r="I24" i="9"/>
  <c r="D24" i="9"/>
  <c r="I23" i="9"/>
  <c r="D23" i="9"/>
  <c r="I22" i="9"/>
  <c r="D22" i="9"/>
  <c r="I21" i="9"/>
  <c r="D21" i="9"/>
  <c r="I20" i="9"/>
  <c r="D20" i="9"/>
  <c r="I19" i="9"/>
  <c r="D19" i="9"/>
  <c r="I18" i="9"/>
  <c r="I25" i="9" s="1"/>
  <c r="D18" i="9"/>
  <c r="B13" i="9"/>
  <c r="B12" i="9"/>
  <c r="B14" i="9" s="1"/>
  <c r="C14" i="9" s="1"/>
  <c r="B9" i="9"/>
  <c r="F6" i="9" s="1"/>
  <c r="F8" i="9"/>
  <c r="H4" i="9" s="1"/>
  <c r="K5" i="9"/>
  <c r="A1" i="9"/>
  <c r="H58" i="8"/>
  <c r="G58" i="8"/>
  <c r="C58" i="8"/>
  <c r="B58" i="8"/>
  <c r="I57" i="8"/>
  <c r="D57" i="8"/>
  <c r="I56" i="8"/>
  <c r="D56" i="8"/>
  <c r="I55" i="8"/>
  <c r="D55" i="8"/>
  <c r="I54" i="8"/>
  <c r="D54" i="8"/>
  <c r="I53" i="8"/>
  <c r="D53" i="8"/>
  <c r="I52" i="8"/>
  <c r="D52" i="8"/>
  <c r="I51" i="8"/>
  <c r="I58" i="8" s="1"/>
  <c r="D51" i="8"/>
  <c r="D58" i="8" s="1"/>
  <c r="H47" i="8"/>
  <c r="G47" i="8"/>
  <c r="C47" i="8"/>
  <c r="B47" i="8"/>
  <c r="I46" i="8"/>
  <c r="D46" i="8"/>
  <c r="I45" i="8"/>
  <c r="D45" i="8"/>
  <c r="I44" i="8"/>
  <c r="D44" i="8"/>
  <c r="I43" i="8"/>
  <c r="D43" i="8"/>
  <c r="I42" i="8"/>
  <c r="D42" i="8"/>
  <c r="I41" i="8"/>
  <c r="I47" i="8" s="1"/>
  <c r="D41" i="8"/>
  <c r="I40" i="8"/>
  <c r="D40" i="8"/>
  <c r="D47" i="8" s="1"/>
  <c r="H36" i="8"/>
  <c r="G36" i="8"/>
  <c r="C36" i="8"/>
  <c r="B36" i="8"/>
  <c r="I35" i="8"/>
  <c r="D35" i="8"/>
  <c r="I34" i="8"/>
  <c r="D34" i="8"/>
  <c r="I33" i="8"/>
  <c r="D33" i="8"/>
  <c r="I32" i="8"/>
  <c r="D32" i="8"/>
  <c r="I31" i="8"/>
  <c r="D31" i="8"/>
  <c r="I30" i="8"/>
  <c r="D30" i="8"/>
  <c r="I29" i="8"/>
  <c r="I36" i="8" s="1"/>
  <c r="D29" i="8"/>
  <c r="D36" i="8" s="1"/>
  <c r="H25" i="8"/>
  <c r="G25" i="8"/>
  <c r="C25" i="8"/>
  <c r="B25" i="8"/>
  <c r="I24" i="8"/>
  <c r="D24" i="8"/>
  <c r="I23" i="8"/>
  <c r="D23" i="8"/>
  <c r="I22" i="8"/>
  <c r="D22" i="8"/>
  <c r="I21" i="8"/>
  <c r="D21" i="8"/>
  <c r="I20" i="8"/>
  <c r="D20" i="8"/>
  <c r="I19" i="8"/>
  <c r="I25" i="8" s="1"/>
  <c r="D19" i="8"/>
  <c r="I18" i="8"/>
  <c r="D18" i="8"/>
  <c r="D25" i="8" s="1"/>
  <c r="B13" i="8"/>
  <c r="B12" i="8"/>
  <c r="B14" i="8" s="1"/>
  <c r="C14" i="8" s="1"/>
  <c r="B9" i="8"/>
  <c r="G8" i="17" s="1"/>
  <c r="K5" i="8"/>
  <c r="A1" i="8"/>
  <c r="H58" i="16"/>
  <c r="G58" i="16"/>
  <c r="C58" i="16"/>
  <c r="B58" i="16"/>
  <c r="I57" i="16"/>
  <c r="D57" i="16"/>
  <c r="I56" i="16"/>
  <c r="D56" i="16"/>
  <c r="I55" i="16"/>
  <c r="D55" i="16"/>
  <c r="I54" i="16"/>
  <c r="D54" i="16"/>
  <c r="I53" i="16"/>
  <c r="D53" i="16"/>
  <c r="I52" i="16"/>
  <c r="D52" i="16"/>
  <c r="I51" i="16"/>
  <c r="I58" i="16" s="1"/>
  <c r="D51" i="16"/>
  <c r="D58" i="16" s="1"/>
  <c r="H47" i="16"/>
  <c r="G47" i="16"/>
  <c r="C47" i="16"/>
  <c r="B47" i="16"/>
  <c r="I46" i="16"/>
  <c r="D46" i="16"/>
  <c r="I45" i="16"/>
  <c r="D45" i="16"/>
  <c r="I44" i="16"/>
  <c r="D44" i="16"/>
  <c r="I43" i="16"/>
  <c r="D43" i="16"/>
  <c r="I42" i="16"/>
  <c r="D42" i="16"/>
  <c r="I41" i="16"/>
  <c r="D41" i="16"/>
  <c r="I40" i="16"/>
  <c r="I47" i="16" s="1"/>
  <c r="D40" i="16"/>
  <c r="D47" i="16" s="1"/>
  <c r="H36" i="16"/>
  <c r="G36" i="16"/>
  <c r="C36" i="16"/>
  <c r="B36" i="16"/>
  <c r="I35" i="16"/>
  <c r="D35" i="16"/>
  <c r="I34" i="16"/>
  <c r="D34" i="16"/>
  <c r="I33" i="16"/>
  <c r="D33" i="16"/>
  <c r="I32" i="16"/>
  <c r="D32" i="16"/>
  <c r="I31" i="16"/>
  <c r="D31" i="16"/>
  <c r="I30" i="16"/>
  <c r="D30" i="16"/>
  <c r="I29" i="16"/>
  <c r="I36" i="16" s="1"/>
  <c r="D29" i="16"/>
  <c r="D36" i="16" s="1"/>
  <c r="H25" i="16"/>
  <c r="G25" i="16"/>
  <c r="C25" i="16"/>
  <c r="B25" i="16"/>
  <c r="I24" i="16"/>
  <c r="D24" i="16"/>
  <c r="I23" i="16"/>
  <c r="D23" i="16"/>
  <c r="I22" i="16"/>
  <c r="D22" i="16"/>
  <c r="I21" i="16"/>
  <c r="D21" i="16"/>
  <c r="I20" i="16"/>
  <c r="D20" i="16"/>
  <c r="I19" i="16"/>
  <c r="D19" i="16"/>
  <c r="I18" i="16"/>
  <c r="I25" i="16" s="1"/>
  <c r="D18" i="16"/>
  <c r="D25" i="16" s="1"/>
  <c r="B13" i="16"/>
  <c r="F9" i="17" s="1"/>
  <c r="B12" i="16"/>
  <c r="B14" i="16" s="1"/>
  <c r="C14" i="16" s="1"/>
  <c r="B9" i="16"/>
  <c r="F6" i="16" s="1"/>
  <c r="F8" i="16"/>
  <c r="H4" i="16" s="1"/>
  <c r="K5" i="16"/>
  <c r="A1" i="16"/>
  <c r="H58" i="6"/>
  <c r="G58" i="6"/>
  <c r="C58" i="6"/>
  <c r="B58" i="6"/>
  <c r="I57" i="6"/>
  <c r="D57" i="6"/>
  <c r="I56" i="6"/>
  <c r="D56" i="6"/>
  <c r="I55" i="6"/>
  <c r="D55" i="6"/>
  <c r="I54" i="6"/>
  <c r="D54" i="6"/>
  <c r="I53" i="6"/>
  <c r="D53" i="6"/>
  <c r="I52" i="6"/>
  <c r="D52" i="6"/>
  <c r="I51" i="6"/>
  <c r="I58" i="6" s="1"/>
  <c r="D51" i="6"/>
  <c r="D58" i="6" s="1"/>
  <c r="H47" i="6"/>
  <c r="G47" i="6"/>
  <c r="C47" i="6"/>
  <c r="B47" i="6"/>
  <c r="I46" i="6"/>
  <c r="D46" i="6"/>
  <c r="I45" i="6"/>
  <c r="D45" i="6"/>
  <c r="I44" i="6"/>
  <c r="D44" i="6"/>
  <c r="I43" i="6"/>
  <c r="D43" i="6"/>
  <c r="I42" i="6"/>
  <c r="D42" i="6"/>
  <c r="I41" i="6"/>
  <c r="D41" i="6"/>
  <c r="I40" i="6"/>
  <c r="I47" i="6" s="1"/>
  <c r="D40" i="6"/>
  <c r="D47" i="6" s="1"/>
  <c r="H36" i="6"/>
  <c r="G36" i="6"/>
  <c r="C36" i="6"/>
  <c r="B36" i="6"/>
  <c r="I35" i="6"/>
  <c r="D35" i="6"/>
  <c r="I34" i="6"/>
  <c r="D34" i="6"/>
  <c r="I33" i="6"/>
  <c r="D33" i="6"/>
  <c r="I32" i="6"/>
  <c r="D32" i="6"/>
  <c r="I31" i="6"/>
  <c r="D31" i="6"/>
  <c r="I30" i="6"/>
  <c r="D30" i="6"/>
  <c r="I29" i="6"/>
  <c r="I36" i="6" s="1"/>
  <c r="D29" i="6"/>
  <c r="D36" i="6" s="1"/>
  <c r="H25" i="6"/>
  <c r="G25" i="6"/>
  <c r="C25" i="6"/>
  <c r="B25" i="6"/>
  <c r="I24" i="6"/>
  <c r="D24" i="6"/>
  <c r="I23" i="6"/>
  <c r="D23" i="6"/>
  <c r="I22" i="6"/>
  <c r="D22" i="6"/>
  <c r="I21" i="6"/>
  <c r="D21" i="6"/>
  <c r="I20" i="6"/>
  <c r="D20" i="6"/>
  <c r="I19" i="6"/>
  <c r="D19" i="6"/>
  <c r="I18" i="6"/>
  <c r="I25" i="6" s="1"/>
  <c r="D18" i="6"/>
  <c r="D25" i="6" s="1"/>
  <c r="B13" i="6"/>
  <c r="B12" i="6"/>
  <c r="B14" i="6" s="1"/>
  <c r="C14" i="6" s="1"/>
  <c r="B9" i="6"/>
  <c r="F8" i="6" s="1"/>
  <c r="H4" i="6" s="1"/>
  <c r="K5" i="6"/>
  <c r="A1" i="6"/>
  <c r="H58" i="5"/>
  <c r="G58" i="5"/>
  <c r="C58" i="5"/>
  <c r="B58" i="5"/>
  <c r="I57" i="5"/>
  <c r="D57" i="5"/>
  <c r="I56" i="5"/>
  <c r="D56" i="5"/>
  <c r="I55" i="5"/>
  <c r="D55" i="5"/>
  <c r="I54" i="5"/>
  <c r="D54" i="5"/>
  <c r="I53" i="5"/>
  <c r="D53" i="5"/>
  <c r="I52" i="5"/>
  <c r="D52" i="5"/>
  <c r="I51" i="5"/>
  <c r="I58" i="5" s="1"/>
  <c r="D51" i="5"/>
  <c r="D58" i="5" s="1"/>
  <c r="H47" i="5"/>
  <c r="G47" i="5"/>
  <c r="C47" i="5"/>
  <c r="B47" i="5"/>
  <c r="I46" i="5"/>
  <c r="D46" i="5"/>
  <c r="I45" i="5"/>
  <c r="D45" i="5"/>
  <c r="I44" i="5"/>
  <c r="D44" i="5"/>
  <c r="I43" i="5"/>
  <c r="D43" i="5"/>
  <c r="I42" i="5"/>
  <c r="D42" i="5"/>
  <c r="I41" i="5"/>
  <c r="D41" i="5"/>
  <c r="I40" i="5"/>
  <c r="I47" i="5" s="1"/>
  <c r="D40" i="5"/>
  <c r="D47" i="5" s="1"/>
  <c r="H36" i="5"/>
  <c r="G36" i="5"/>
  <c r="C36" i="5"/>
  <c r="B36" i="5"/>
  <c r="I35" i="5"/>
  <c r="D35" i="5"/>
  <c r="I34" i="5"/>
  <c r="D34" i="5"/>
  <c r="I33" i="5"/>
  <c r="D33" i="5"/>
  <c r="I32" i="5"/>
  <c r="D32" i="5"/>
  <c r="I31" i="5"/>
  <c r="D31" i="5"/>
  <c r="I30" i="5"/>
  <c r="I36" i="5" s="1"/>
  <c r="D30" i="5"/>
  <c r="I29" i="5"/>
  <c r="D29" i="5"/>
  <c r="D36" i="5" s="1"/>
  <c r="H25" i="5"/>
  <c r="G25" i="5"/>
  <c r="C25" i="5"/>
  <c r="B25" i="5"/>
  <c r="I24" i="5"/>
  <c r="D24" i="5"/>
  <c r="I23" i="5"/>
  <c r="D23" i="5"/>
  <c r="I22" i="5"/>
  <c r="D22" i="5"/>
  <c r="I21" i="5"/>
  <c r="D21" i="5"/>
  <c r="I20" i="5"/>
  <c r="D20" i="5"/>
  <c r="I19" i="5"/>
  <c r="I25" i="5" s="1"/>
  <c r="D19" i="5"/>
  <c r="I18" i="5"/>
  <c r="D18" i="5"/>
  <c r="D25" i="5" s="1"/>
  <c r="B13" i="5"/>
  <c r="B12" i="5"/>
  <c r="B14" i="5" s="1"/>
  <c r="C14" i="5" s="1"/>
  <c r="B9" i="5"/>
  <c r="F8" i="5" s="1"/>
  <c r="H4" i="5" s="1"/>
  <c r="K5" i="5"/>
  <c r="A1" i="5"/>
  <c r="M9" i="17"/>
  <c r="I9" i="17"/>
  <c r="D9" i="17"/>
  <c r="E9" i="17"/>
  <c r="N9" i="17"/>
  <c r="L9" i="17"/>
  <c r="J9" i="17"/>
  <c r="H9" i="17"/>
  <c r="G9" i="17"/>
  <c r="L8" i="17"/>
  <c r="K8" i="17"/>
  <c r="I8" i="17"/>
  <c r="H8" i="17"/>
  <c r="E8" i="17"/>
  <c r="M8" i="17"/>
  <c r="G58" i="1"/>
  <c r="H58" i="1"/>
  <c r="B58" i="1"/>
  <c r="C58" i="1"/>
  <c r="G47" i="1"/>
  <c r="H47" i="1"/>
  <c r="B47" i="1"/>
  <c r="C47" i="1"/>
  <c r="G36" i="1"/>
  <c r="H36" i="1"/>
  <c r="B36" i="1"/>
  <c r="C36" i="1"/>
  <c r="G25" i="1"/>
  <c r="H25" i="1"/>
  <c r="B25" i="1"/>
  <c r="C25" i="1"/>
  <c r="B13" i="1"/>
  <c r="C9" i="17" s="1"/>
  <c r="B12" i="1"/>
  <c r="B9" i="1"/>
  <c r="C8" i="17" s="1"/>
  <c r="A1" i="1"/>
  <c r="K5" i="1"/>
  <c r="A1" i="17"/>
  <c r="I21" i="1"/>
  <c r="I46" i="1"/>
  <c r="I45" i="1"/>
  <c r="I44" i="1"/>
  <c r="I43" i="1"/>
  <c r="I42" i="1"/>
  <c r="I41" i="1"/>
  <c r="I40" i="1"/>
  <c r="D57" i="1"/>
  <c r="D56" i="1"/>
  <c r="D55" i="1"/>
  <c r="D54" i="1"/>
  <c r="D53" i="1"/>
  <c r="D52" i="1"/>
  <c r="D51" i="1"/>
  <c r="I57" i="1"/>
  <c r="I56" i="1"/>
  <c r="I55" i="1"/>
  <c r="I54" i="1"/>
  <c r="I53" i="1"/>
  <c r="I52" i="1"/>
  <c r="I51" i="1"/>
  <c r="D22" i="1"/>
  <c r="I24" i="1"/>
  <c r="D24" i="1"/>
  <c r="I23" i="1"/>
  <c r="D23" i="1"/>
  <c r="I22" i="1"/>
  <c r="D21" i="1"/>
  <c r="I20" i="1"/>
  <c r="D20" i="1"/>
  <c r="I19" i="1"/>
  <c r="D19" i="1"/>
  <c r="I18" i="1"/>
  <c r="D18" i="1"/>
  <c r="D36" i="15" l="1"/>
  <c r="F6" i="15"/>
  <c r="I36" i="15"/>
  <c r="D47" i="15"/>
  <c r="I47" i="15"/>
  <c r="B14" i="15"/>
  <c r="C14" i="15" s="1"/>
  <c r="D58" i="15"/>
  <c r="I58" i="15"/>
  <c r="F6" i="14"/>
  <c r="F6" i="13"/>
  <c r="K9" i="17"/>
  <c r="F6" i="10"/>
  <c r="F6" i="8"/>
  <c r="F8" i="8"/>
  <c r="H4" i="8" s="1"/>
  <c r="F6" i="6"/>
  <c r="F6" i="5"/>
  <c r="J8" i="17"/>
  <c r="D8" i="17"/>
  <c r="F8" i="17"/>
  <c r="F6" i="1"/>
  <c r="N8" i="17"/>
  <c r="B14" i="1"/>
  <c r="C14" i="1" s="1"/>
  <c r="F8" i="1"/>
  <c r="H4" i="1" s="1"/>
  <c r="I58" i="1"/>
  <c r="I25" i="1"/>
  <c r="I47" i="1"/>
  <c r="D58" i="1"/>
  <c r="D25" i="1"/>
  <c r="O8" i="17" l="1"/>
  <c r="O9" i="17" l="1"/>
  <c r="I34" i="1" l="1"/>
  <c r="D41" i="1"/>
  <c r="D42" i="1"/>
  <c r="D43" i="1"/>
  <c r="D44" i="1"/>
  <c r="D45" i="1"/>
  <c r="D46" i="1"/>
  <c r="D40" i="1"/>
  <c r="D47" i="1" l="1"/>
  <c r="I29" i="1"/>
  <c r="I30" i="1"/>
  <c r="I31" i="1"/>
  <c r="I32" i="1"/>
  <c r="I33" i="1"/>
  <c r="I35" i="1"/>
  <c r="D29" i="1"/>
  <c r="D30" i="1"/>
  <c r="D31" i="1"/>
  <c r="D32" i="1"/>
  <c r="D33" i="1"/>
  <c r="D34" i="1"/>
  <c r="D35" i="1"/>
  <c r="I36" i="1" l="1"/>
  <c r="D36" i="1"/>
</calcChain>
</file>

<file path=xl/sharedStrings.xml><?xml version="1.0" encoding="utf-8"?>
<sst xmlns="http://schemas.openxmlformats.org/spreadsheetml/2006/main" count="1161" uniqueCount="70">
  <si>
    <t>Renda extra</t>
  </si>
  <si>
    <t>Renda mensal total</t>
  </si>
  <si>
    <t>Moradia</t>
  </si>
  <si>
    <t>0</t>
  </si>
  <si>
    <t>Outros</t>
  </si>
  <si>
    <t>Subtotal</t>
  </si>
  <si>
    <t>Transporte</t>
  </si>
  <si>
    <t>Saúde</t>
  </si>
  <si>
    <t>Supermercado</t>
  </si>
  <si>
    <t>Academia</t>
  </si>
  <si>
    <t>Diferença</t>
  </si>
  <si>
    <t>Investimentos</t>
  </si>
  <si>
    <t>Salário</t>
  </si>
  <si>
    <t>Ticket Alimentação</t>
  </si>
  <si>
    <t>Auxílio</t>
  </si>
  <si>
    <t>Aluguel</t>
  </si>
  <si>
    <t>Orçado</t>
  </si>
  <si>
    <t>Real</t>
  </si>
  <si>
    <t>Lazer</t>
  </si>
  <si>
    <t>Previdência Privada</t>
  </si>
  <si>
    <t>Previdência Privada - Aporte</t>
  </si>
  <si>
    <t>[</t>
  </si>
  <si>
    <t>Luz</t>
  </si>
  <si>
    <t>Água</t>
  </si>
  <si>
    <t>TV</t>
  </si>
  <si>
    <t>Internet</t>
  </si>
  <si>
    <t>Cinema</t>
  </si>
  <si>
    <t>Show</t>
  </si>
  <si>
    <t>Plano de saúde</t>
  </si>
  <si>
    <t>Farmárcia</t>
  </si>
  <si>
    <t>Uber</t>
  </si>
  <si>
    <t>Gasolina</t>
  </si>
  <si>
    <t xml:space="preserve">Manutenção </t>
  </si>
  <si>
    <t>Roupas</t>
  </si>
  <si>
    <t>Bar</t>
  </si>
  <si>
    <t>Dentista</t>
  </si>
  <si>
    <t>Alimentação</t>
  </si>
  <si>
    <t>Padaria</t>
  </si>
  <si>
    <t>Presentes</t>
  </si>
  <si>
    <t>Tarifas bancárias</t>
  </si>
  <si>
    <t>Pessoal e Educação</t>
  </si>
  <si>
    <t>Faculdade</t>
  </si>
  <si>
    <t>Cursos</t>
  </si>
  <si>
    <t>Material escolar</t>
  </si>
  <si>
    <t>Total</t>
  </si>
  <si>
    <t>Consolidado anual</t>
  </si>
  <si>
    <t>Receita</t>
  </si>
  <si>
    <t>Custo Real</t>
  </si>
  <si>
    <t>Custos mensais</t>
  </si>
  <si>
    <r>
      <t xml:space="preserve">Saldo Previsto
</t>
    </r>
    <r>
      <rPr>
        <sz val="13"/>
        <color theme="1" tint="0.24994659260841701"/>
        <rFont val="Calibri"/>
        <family val="2"/>
        <scheme val="minor"/>
      </rPr>
      <t>(receita mensal menos custo orçado)</t>
    </r>
  </si>
  <si>
    <t>Saldo Real
(receita mensal menos custo real)</t>
  </si>
  <si>
    <t>Essa planilha de controle de gastos foi desenvolvida pela equipe da Mais Previdência, a gestora dos planos de previdência privada da FIEMG,SESI, SENAI, CIEMG e IEL, com a intenção de lhe ajudar a fazer de 2022 um ano em que a educação financeira estará, de fato, presente em sua vida. Afinal, esse é o grande segredo para a construção de um futuro seguro e tranquilo, incluindo uma aposentadoria de verdade!</t>
  </si>
  <si>
    <t>ATENÇÃO! O saldo projetado, saldo real e a diferença já são calculados automaticamente.</t>
  </si>
  <si>
    <t xml:space="preserve">Para utilizá-la, é bem fácil! Basta você inserir, todo mês, os dados pedidos em cada coluna e linha. </t>
  </si>
  <si>
    <t>Para mais dicas sobre educação financeira, acesse o +P Blog: www.blog.maisprevidencia.com! Toda quarta-feira, tem post novo para você!</t>
  </si>
  <si>
    <t>Receita mensal</t>
  </si>
  <si>
    <t>Jan/2022</t>
  </si>
  <si>
    <t>Fev/2022</t>
  </si>
  <si>
    <t>Mar/2022</t>
  </si>
  <si>
    <t>Abr/2022</t>
  </si>
  <si>
    <t>Mai/2022</t>
  </si>
  <si>
    <t>Jun/2022</t>
  </si>
  <si>
    <t>Jul/2022</t>
  </si>
  <si>
    <t>Ago/2022</t>
  </si>
  <si>
    <t>Out/2022</t>
  </si>
  <si>
    <t>Set/2022</t>
  </si>
  <si>
    <t>Nov/2022</t>
  </si>
  <si>
    <t>Dez/2022</t>
  </si>
  <si>
    <r>
      <rPr>
        <b/>
        <u/>
        <sz val="11"/>
        <color theme="5"/>
        <rFont val="Calibri"/>
        <family val="2"/>
        <scheme val="minor"/>
      </rPr>
      <t>Contatos</t>
    </r>
    <r>
      <rPr>
        <u/>
        <sz val="11"/>
        <color theme="5"/>
        <rFont val="Calibri"/>
        <family val="2"/>
        <scheme val="minor"/>
      </rPr>
      <t xml:space="preserve">                                                                                                             </t>
    </r>
    <r>
      <rPr>
        <b/>
        <sz val="11"/>
        <color theme="5"/>
        <rFont val="Calibri"/>
        <family val="2"/>
        <scheme val="minor"/>
      </rPr>
      <t>E-mail:</t>
    </r>
    <r>
      <rPr>
        <sz val="11"/>
        <color theme="5"/>
        <rFont val="Calibri"/>
        <family val="2"/>
        <scheme val="minor"/>
      </rPr>
      <t xml:space="preserve"> atendimento@maisprevidencia.com                            </t>
    </r>
    <r>
      <rPr>
        <b/>
        <sz val="11"/>
        <color theme="5"/>
        <rFont val="Calibri"/>
        <family val="2"/>
        <scheme val="minor"/>
      </rPr>
      <t xml:space="preserve">Telefone: </t>
    </r>
    <r>
      <rPr>
        <sz val="11"/>
        <color theme="5"/>
        <rFont val="Calibri"/>
        <family val="2"/>
        <scheme val="minor"/>
      </rPr>
      <t>(31) 3284-8407/ (31) 98791-5328, que também é WhatsApp</t>
    </r>
  </si>
  <si>
    <r>
      <rPr>
        <b/>
        <u/>
        <sz val="16"/>
        <color theme="1"/>
        <rFont val="Calibri"/>
        <family val="2"/>
        <scheme val="minor"/>
      </rPr>
      <t>ATENÇÃO!</t>
    </r>
    <r>
      <rPr>
        <sz val="16"/>
        <color theme="1"/>
        <rFont val="Calibri"/>
        <family val="2"/>
        <scheme val="minor"/>
      </rPr>
      <t xml:space="preserve">  </t>
    </r>
    <r>
      <rPr>
        <sz val="16"/>
        <color theme="3" tint="0.24994659260841701"/>
        <rFont val="Calibri"/>
        <family val="2"/>
        <scheme val="minor"/>
      </rPr>
      <t xml:space="preserve">                                                                                                                                                                                                                   </t>
    </r>
    <r>
      <rPr>
        <sz val="16"/>
        <color theme="0"/>
        <rFont val="Calibri"/>
        <family val="2"/>
        <scheme val="minor"/>
      </rPr>
      <t>Durante todo o mês de dezembro, você pode alterar o seu percentual de contribuição junto à Mais Previdência!                                                         
                                                                                               Ao aumentar o seu percentual, você garante uma melhor renda ao se aposentar por meio do fomento do seu saldo individual. Assim como, poder declarar mais no seu Imposto de Renda e, dessa forma, deduzir de sua renda bruta anual até 12% dos valores investidos em previdência privada, caso faça a declaração no modelo completo!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</si>
</sst>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8" formatCode="&quot;R$&quot;\ #,##0.00;[Red]\-&quot;R$&quot;\ #,##0.00"/>
    <numFmt numFmtId="164" formatCode="&quot;$&quot;#,##0.00_);[Red]\(&quot;$&quot;#,##0.00\)"/>
    <numFmt numFmtId="165" formatCode="&quot;$&quot;#,##0.00"/>
    <numFmt numFmtId="166" formatCode="[&lt;=9999999]###\-####;\(###\)\ ###\-####"/>
    <numFmt numFmtId="167" formatCode="&quot;R$&quot;\ #,##0.00"/>
  </numFmts>
  <fonts count="48" x14ac:knownFonts="1">
    <font>
      <sz val="10"/>
      <color theme="1" tint="0.24994659260841701"/>
      <name val="Calibri"/>
      <family val="2"/>
      <scheme val="minor"/>
    </font>
    <font>
      <sz val="11"/>
      <color theme="1"/>
      <name val="Calibri"/>
      <family val="2"/>
      <scheme val="minor"/>
    </font>
    <font>
      <sz val="10"/>
      <color theme="1" tint="0.24994659260841701"/>
      <name val="Calibri"/>
      <family val="2"/>
      <scheme val="major"/>
    </font>
    <font>
      <b/>
      <sz val="10"/>
      <color theme="1" tint="0.24994659260841701"/>
      <name val="Calibri"/>
      <family val="2"/>
      <scheme val="major"/>
    </font>
    <font>
      <sz val="22"/>
      <color theme="3" tint="0.24994659260841701"/>
      <name val="Calibri"/>
      <family val="2"/>
      <scheme val="major"/>
    </font>
    <font>
      <sz val="10"/>
      <color theme="0"/>
      <name val="Calibri"/>
      <family val="2"/>
      <scheme val="minor"/>
    </font>
    <font>
      <sz val="11"/>
      <color theme="4" tint="-0.499984740745262"/>
      <name val="Calibri"/>
      <family val="2"/>
      <scheme val="minor"/>
    </font>
    <font>
      <sz val="12"/>
      <color theme="1" tint="0.24994659260841701"/>
      <name val="Calibri"/>
      <family val="2"/>
      <scheme val="minor"/>
    </font>
    <font>
      <b/>
      <sz val="14"/>
      <color theme="1" tint="0.34998626667073579"/>
      <name val="Calibri"/>
      <family val="2"/>
      <scheme val="minor"/>
    </font>
    <font>
      <b/>
      <sz val="14"/>
      <color theme="0"/>
      <name val="Calibri"/>
      <family val="2"/>
      <scheme val="minor"/>
    </font>
    <font>
      <sz val="12"/>
      <color theme="1" tint="0.34998626667073579"/>
      <name val="Calibri"/>
      <family val="2"/>
      <scheme val="minor"/>
    </font>
    <font>
      <b/>
      <sz val="12"/>
      <color theme="1" tint="0.34998626667073579"/>
      <name val="Calibri"/>
      <family val="2"/>
      <scheme val="minor"/>
    </font>
    <font>
      <sz val="12"/>
      <color theme="0"/>
      <name val="Calibri"/>
      <family val="2"/>
      <scheme val="minor"/>
    </font>
    <font>
      <b/>
      <sz val="12"/>
      <color theme="1" tint="0.24994659260841701"/>
      <name val="Calibri"/>
      <family val="2"/>
      <scheme val="minor"/>
    </font>
    <font>
      <b/>
      <sz val="14"/>
      <color theme="8"/>
      <name val="Calibri"/>
      <family val="2"/>
      <scheme val="minor"/>
    </font>
    <font>
      <sz val="14"/>
      <color theme="1" tint="0.24994659260841701"/>
      <name val="Calibri"/>
      <family val="2"/>
      <scheme val="minor"/>
    </font>
    <font>
      <sz val="12"/>
      <name val="Calibri"/>
      <family val="2"/>
      <scheme val="minor"/>
    </font>
    <font>
      <b/>
      <sz val="20"/>
      <color theme="8"/>
      <name val="Calibri"/>
      <family val="2"/>
      <scheme val="major"/>
    </font>
    <font>
      <sz val="22"/>
      <color theme="3" tint="0.24994659260841701"/>
      <name val="Calibri"/>
      <family val="2"/>
      <scheme val="minor"/>
    </font>
    <font>
      <b/>
      <sz val="14"/>
      <color theme="1" tint="0.24994659260841701"/>
      <name val="Calibri"/>
      <family val="2"/>
      <scheme val="minor"/>
    </font>
    <font>
      <b/>
      <sz val="12"/>
      <name val="Calibri"/>
      <family val="2"/>
      <scheme val="minor"/>
    </font>
    <font>
      <b/>
      <sz val="40"/>
      <color theme="8"/>
      <name val="Calibri"/>
      <family val="2"/>
      <scheme val="major"/>
    </font>
    <font>
      <sz val="12"/>
      <color theme="1" tint="0.24994659260841701"/>
      <name val="Calibri"/>
      <family val="2"/>
      <scheme val="major"/>
    </font>
    <font>
      <sz val="12"/>
      <color theme="1" tint="0.34998626667073579"/>
      <name val="Calibri"/>
      <scheme val="minor"/>
    </font>
    <font>
      <b/>
      <sz val="10"/>
      <name val="Arial"/>
      <family val="2"/>
    </font>
    <font>
      <b/>
      <sz val="20"/>
      <color theme="5"/>
      <name val="Calibri"/>
      <family val="2"/>
      <scheme val="major"/>
    </font>
    <font>
      <sz val="14"/>
      <color theme="5"/>
      <name val="Calibri"/>
      <family val="2"/>
      <scheme val="major"/>
    </font>
    <font>
      <b/>
      <sz val="40"/>
      <color theme="5"/>
      <name val="Calibri"/>
      <family val="2"/>
      <scheme val="major"/>
    </font>
    <font>
      <b/>
      <sz val="12"/>
      <color theme="1"/>
      <name val="Calibri"/>
      <family val="2"/>
      <scheme val="minor"/>
    </font>
    <font>
      <b/>
      <sz val="10"/>
      <color theme="1"/>
      <name val="Calibri"/>
      <family val="2"/>
      <scheme val="minor"/>
    </font>
    <font>
      <b/>
      <sz val="18"/>
      <color theme="1"/>
      <name val="Calibri"/>
      <family val="2"/>
      <scheme val="minor"/>
    </font>
    <font>
      <sz val="8"/>
      <name val="Calibri"/>
      <family val="2"/>
      <scheme val="minor"/>
    </font>
    <font>
      <b/>
      <sz val="10"/>
      <color theme="0"/>
      <name val="Calibri"/>
      <family val="2"/>
      <scheme val="minor"/>
    </font>
    <font>
      <b/>
      <sz val="13"/>
      <color theme="1" tint="0.24994659260841701"/>
      <name val="Calibri"/>
      <family val="2"/>
      <scheme val="minor"/>
    </font>
    <font>
      <sz val="13"/>
      <color theme="1" tint="0.24994659260841701"/>
      <name val="Calibri"/>
      <family val="2"/>
      <scheme val="minor"/>
    </font>
    <font>
      <b/>
      <sz val="15"/>
      <name val="Arial"/>
      <family val="2"/>
    </font>
    <font>
      <sz val="8"/>
      <color theme="1" tint="0.24994659260841701"/>
      <name val="Calibri"/>
      <family val="2"/>
      <scheme val="minor"/>
    </font>
    <font>
      <b/>
      <sz val="14"/>
      <color theme="0"/>
      <name val="Arial"/>
      <family val="2"/>
    </font>
    <font>
      <sz val="12"/>
      <color theme="3" tint="0.24994659260841701"/>
      <name val="Calibri"/>
      <family val="2"/>
      <scheme val="minor"/>
    </font>
    <font>
      <sz val="11"/>
      <color theme="5"/>
      <name val="Calibri"/>
      <family val="2"/>
      <scheme val="minor"/>
    </font>
    <font>
      <b/>
      <u/>
      <sz val="11"/>
      <color theme="5"/>
      <name val="Calibri"/>
      <family val="2"/>
      <scheme val="minor"/>
    </font>
    <font>
      <u/>
      <sz val="11"/>
      <color theme="5"/>
      <name val="Calibri"/>
      <family val="2"/>
      <scheme val="minor"/>
    </font>
    <font>
      <b/>
      <sz val="11"/>
      <color theme="5"/>
      <name val="Calibri"/>
      <family val="2"/>
      <scheme val="minor"/>
    </font>
    <font>
      <sz val="12"/>
      <color theme="5"/>
      <name val="Calibri"/>
      <family val="2"/>
      <scheme val="minor"/>
    </font>
    <font>
      <sz val="16"/>
      <color theme="3" tint="0.24994659260841701"/>
      <name val="Calibri"/>
      <family val="2"/>
      <scheme val="minor"/>
    </font>
    <font>
      <sz val="16"/>
      <color theme="0"/>
      <name val="Calibri"/>
      <family val="2"/>
      <scheme val="minor"/>
    </font>
    <font>
      <b/>
      <u/>
      <sz val="16"/>
      <color theme="1"/>
      <name val="Calibri"/>
      <family val="2"/>
      <scheme val="minor"/>
    </font>
    <font>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59999389629810485"/>
        <bgColor indexed="64"/>
      </patternFill>
    </fill>
    <fill>
      <patternFill patternType="solid">
        <fgColor theme="5" tint="0.79998168889431442"/>
        <bgColor indexed="64"/>
      </patternFill>
    </fill>
  </fills>
  <borders count="26">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3743705557422"/>
      </bottom>
      <diagonal/>
    </border>
    <border>
      <left style="thin">
        <color theme="0" tint="-0.14996795556505021"/>
      </left>
      <right/>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right style="thin">
        <color theme="0" tint="-0.14990691854609822"/>
      </right>
      <top style="thin">
        <color theme="0" tint="-0.14996795556505021"/>
      </top>
      <bottom style="thin">
        <color theme="0" tint="-0.14993743705557422"/>
      </bottom>
      <diagonal/>
    </border>
    <border>
      <left style="thin">
        <color theme="0" tint="-0.14990691854609822"/>
      </left>
      <right/>
      <top style="thin">
        <color theme="0" tint="-0.14996795556505021"/>
      </top>
      <bottom style="thin">
        <color theme="0" tint="-0.14993743705557422"/>
      </bottom>
      <diagonal/>
    </border>
    <border>
      <left/>
      <right/>
      <top/>
      <bottom style="thin">
        <color theme="5"/>
      </bottom>
      <diagonal/>
    </border>
    <border>
      <left/>
      <right style="thin">
        <color theme="0" tint="-0.499984740745262"/>
      </right>
      <top/>
      <bottom style="thin">
        <color theme="5"/>
      </bottom>
      <diagonal/>
    </border>
    <border>
      <left style="thin">
        <color theme="0" tint="-0.499984740745262"/>
      </left>
      <right/>
      <top/>
      <bottom style="thin">
        <color theme="5"/>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theme="0" tint="-0.14993743705557422"/>
      </right>
      <top style="thin">
        <color theme="0" tint="-0.14996795556505021"/>
      </top>
      <bottom style="thin">
        <color indexed="64"/>
      </bottom>
      <diagonal/>
    </border>
    <border>
      <left style="thin">
        <color theme="0" tint="-0.14990691854609822"/>
      </left>
      <right/>
      <top style="thin">
        <color theme="0" tint="-0.14996795556505021"/>
      </top>
      <bottom style="thin">
        <color indexed="64"/>
      </bottom>
      <diagonal/>
    </border>
    <border>
      <left/>
      <right style="thin">
        <color theme="0" tint="-0.14990691854609822"/>
      </right>
      <top style="thin">
        <color theme="0" tint="-0.14996795556505021"/>
      </top>
      <bottom style="thin">
        <color indexed="64"/>
      </bottom>
      <diagonal/>
    </border>
    <border>
      <left/>
      <right/>
      <top style="thin">
        <color indexed="64"/>
      </top>
      <bottom/>
      <diagonal/>
    </border>
  </borders>
  <cellStyleXfs count="6">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166" fontId="6" fillId="0" borderId="0" applyFont="0" applyFill="0" applyBorder="0" applyAlignment="0" applyProtection="0"/>
    <xf numFmtId="14" fontId="6" fillId="0" borderId="0" applyFont="0" applyFill="0" applyBorder="0" applyAlignment="0" applyProtection="0"/>
  </cellStyleXfs>
  <cellXfs count="105">
    <xf numFmtId="0" fontId="0" fillId="0" borderId="0" xfId="0"/>
    <xf numFmtId="0" fontId="7" fillId="0" borderId="0" xfId="0" applyFont="1" applyAlignment="1">
      <alignment vertical="center" wrapText="1"/>
    </xf>
    <xf numFmtId="0" fontId="0" fillId="0" borderId="0" xfId="0" applyFont="1"/>
    <xf numFmtId="0" fontId="0" fillId="0" borderId="0" xfId="0" applyFont="1" applyAlignment="1">
      <alignment vertical="center"/>
    </xf>
    <xf numFmtId="0" fontId="1" fillId="0" borderId="0" xfId="0" applyFont="1" applyProtection="1">
      <protection locked="0"/>
    </xf>
    <xf numFmtId="0" fontId="0" fillId="0" borderId="0" xfId="0" applyFont="1" applyProtection="1">
      <protection locked="0"/>
    </xf>
    <xf numFmtId="0" fontId="10" fillId="2" borderId="10" xfId="2" applyFont="1" applyFill="1" applyBorder="1" applyAlignment="1" applyProtection="1">
      <alignment horizontal="left" vertical="center" indent="1"/>
      <protection locked="0"/>
    </xf>
    <xf numFmtId="8" fontId="10" fillId="2" borderId="11" xfId="0" applyNumberFormat="1" applyFont="1" applyFill="1" applyBorder="1" applyAlignment="1" applyProtection="1">
      <alignment horizontal="center" vertical="center"/>
      <protection locked="0"/>
    </xf>
    <xf numFmtId="0" fontId="10" fillId="2" borderId="7" xfId="2" applyFont="1" applyFill="1" applyBorder="1" applyAlignment="1" applyProtection="1">
      <alignment horizontal="left" vertical="center" indent="1"/>
      <protection locked="0"/>
    </xf>
    <xf numFmtId="8" fontId="10" fillId="2" borderId="8" xfId="0" applyNumberFormat="1" applyFont="1" applyFill="1" applyBorder="1" applyAlignment="1" applyProtection="1">
      <alignment horizontal="center" vertical="center"/>
      <protection locked="0"/>
    </xf>
    <xf numFmtId="0" fontId="8" fillId="3" borderId="14" xfId="2" applyFont="1" applyFill="1" applyBorder="1" applyAlignment="1" applyProtection="1">
      <alignment horizontal="left" vertical="center" indent="1"/>
      <protection locked="0"/>
    </xf>
    <xf numFmtId="8" fontId="11" fillId="3" borderId="15" xfId="0" applyNumberFormat="1" applyFont="1" applyFill="1" applyBorder="1" applyAlignment="1" applyProtection="1">
      <alignment horizontal="center" vertical="center"/>
      <protection locked="0"/>
    </xf>
    <xf numFmtId="22" fontId="30" fillId="0" borderId="0" xfId="0" applyNumberFormat="1" applyFont="1" applyProtection="1"/>
    <xf numFmtId="0" fontId="1" fillId="0" borderId="0" xfId="0" applyFont="1" applyProtection="1"/>
    <xf numFmtId="0" fontId="18" fillId="2" borderId="0" xfId="1" applyFont="1" applyFill="1" applyBorder="1" applyProtection="1"/>
    <xf numFmtId="0" fontId="0" fillId="0" borderId="0" xfId="0" applyFont="1" applyProtection="1"/>
    <xf numFmtId="0" fontId="0" fillId="0" borderId="0" xfId="2" applyFont="1" applyBorder="1" applyAlignment="1" applyProtection="1">
      <alignment vertical="center" wrapText="1"/>
    </xf>
    <xf numFmtId="0" fontId="24" fillId="2" borderId="0" xfId="0" applyFont="1" applyFill="1" applyBorder="1" applyAlignment="1" applyProtection="1">
      <alignment vertical="center"/>
    </xf>
    <xf numFmtId="0" fontId="16" fillId="2" borderId="0" xfId="2" applyFont="1" applyFill="1" applyBorder="1" applyAlignment="1" applyProtection="1">
      <alignment vertical="center"/>
      <protection locked="0"/>
    </xf>
    <xf numFmtId="164" fontId="20" fillId="2" borderId="0" xfId="0" applyNumberFormat="1" applyFont="1" applyFill="1" applyBorder="1" applyAlignment="1" applyProtection="1">
      <alignment vertical="center"/>
      <protection locked="0"/>
    </xf>
    <xf numFmtId="0" fontId="7" fillId="0" borderId="0" xfId="0" applyFont="1" applyBorder="1" applyProtection="1">
      <protection locked="0"/>
    </xf>
    <xf numFmtId="0" fontId="9" fillId="2" borderId="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protection locked="0"/>
    </xf>
    <xf numFmtId="0" fontId="12" fillId="2" borderId="4" xfId="0" applyFont="1" applyFill="1" applyBorder="1" applyAlignment="1" applyProtection="1">
      <alignment horizontal="left" vertical="center" indent="1"/>
      <protection locked="0"/>
    </xf>
    <xf numFmtId="0" fontId="10" fillId="2" borderId="5" xfId="0" applyFont="1" applyFill="1" applyBorder="1" applyAlignment="1" applyProtection="1">
      <alignment horizontal="left" vertical="center" indent="1"/>
      <protection locked="0"/>
    </xf>
    <xf numFmtId="167" fontId="10" fillId="2" borderId="6" xfId="0" applyNumberFormat="1" applyFont="1" applyFill="1" applyBorder="1" applyAlignment="1" applyProtection="1">
      <alignment horizontal="center" vertical="center"/>
      <protection locked="0"/>
    </xf>
    <xf numFmtId="0" fontId="22" fillId="0" borderId="0" xfId="0" applyFont="1" applyBorder="1" applyProtection="1">
      <protection locked="0"/>
    </xf>
    <xf numFmtId="0" fontId="7" fillId="0" borderId="0" xfId="0" applyFont="1" applyProtection="1">
      <protection locked="0"/>
    </xf>
    <xf numFmtId="0" fontId="23" fillId="2" borderId="5" xfId="0" applyFont="1" applyFill="1" applyBorder="1" applyAlignment="1" applyProtection="1">
      <alignment horizontal="left" vertical="center" indent="1"/>
      <protection locked="0"/>
    </xf>
    <xf numFmtId="167" fontId="23" fillId="2" borderId="6" xfId="0" applyNumberFormat="1" applyFont="1" applyFill="1" applyBorder="1" applyAlignment="1" applyProtection="1">
      <alignment horizontal="center" vertical="center"/>
      <protection locked="0"/>
    </xf>
    <xf numFmtId="0" fontId="2" fillId="0" borderId="0" xfId="0" applyFont="1" applyProtection="1">
      <protection locked="0"/>
    </xf>
    <xf numFmtId="0" fontId="14" fillId="2" borderId="0" xfId="0" applyFont="1" applyFill="1" applyBorder="1" applyAlignment="1" applyProtection="1">
      <alignment vertical="center"/>
      <protection locked="0"/>
    </xf>
    <xf numFmtId="165" fontId="7" fillId="2" borderId="0" xfId="0" applyNumberFormat="1" applyFont="1" applyFill="1" applyBorder="1" applyAlignment="1" applyProtection="1">
      <alignment vertical="center"/>
      <protection locked="0"/>
    </xf>
    <xf numFmtId="165" fontId="7" fillId="2" borderId="0" xfId="0" applyNumberFormat="1" applyFont="1" applyFill="1" applyBorder="1" applyAlignment="1" applyProtection="1">
      <alignment horizontal="center" vertical="center"/>
      <protection locked="0"/>
    </xf>
    <xf numFmtId="0" fontId="10" fillId="2" borderId="7" xfId="0" applyFont="1" applyFill="1" applyBorder="1" applyAlignment="1" applyProtection="1">
      <alignment horizontal="left" vertical="center" indent="1"/>
      <protection locked="0"/>
    </xf>
    <xf numFmtId="167" fontId="10" fillId="2" borderId="9" xfId="0" applyNumberFormat="1" applyFont="1" applyFill="1" applyBorder="1" applyAlignment="1" applyProtection="1">
      <alignment horizontal="center" vertical="center"/>
      <protection locked="0"/>
    </xf>
    <xf numFmtId="0" fontId="22" fillId="0" borderId="0" xfId="0" applyFont="1" applyProtection="1">
      <protection locked="0"/>
    </xf>
    <xf numFmtId="0" fontId="0" fillId="2" borderId="0" xfId="0" applyFont="1" applyFill="1" applyBorder="1" applyProtection="1">
      <protection locked="0"/>
    </xf>
    <xf numFmtId="0" fontId="10" fillId="2" borderId="12" xfId="0" applyFont="1" applyFill="1" applyBorder="1" applyAlignment="1" applyProtection="1">
      <alignment horizontal="left" vertical="center" indent="1"/>
      <protection locked="0"/>
    </xf>
    <xf numFmtId="167" fontId="10" fillId="2" borderId="13" xfId="0" applyNumberFormat="1"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indent="1"/>
      <protection locked="0"/>
    </xf>
    <xf numFmtId="0" fontId="8" fillId="2" borderId="0" xfId="0" applyFont="1" applyFill="1" applyBorder="1" applyAlignment="1" applyProtection="1">
      <alignment horizontal="left" vertical="center" indent="1"/>
      <protection locked="0"/>
    </xf>
    <xf numFmtId="167" fontId="7" fillId="2" borderId="0" xfId="0" applyNumberFormat="1" applyFont="1" applyFill="1" applyBorder="1" applyAlignment="1" applyProtection="1">
      <alignment horizontal="center" vertical="center"/>
      <protection locked="0"/>
    </xf>
    <xf numFmtId="167" fontId="11" fillId="2" borderId="0" xfId="0" applyNumberFormat="1" applyFont="1" applyFill="1" applyBorder="1" applyAlignment="1" applyProtection="1">
      <alignment horizontal="center" vertical="center"/>
      <protection locked="0"/>
    </xf>
    <xf numFmtId="167" fontId="10" fillId="2" borderId="0"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indent="1"/>
      <protection locked="0"/>
    </xf>
    <xf numFmtId="0" fontId="13"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protection locked="0"/>
    </xf>
    <xf numFmtId="0" fontId="0" fillId="0" borderId="0" xfId="0" applyProtection="1">
      <protection locked="0"/>
    </xf>
    <xf numFmtId="22" fontId="28" fillId="0" borderId="0" xfId="0" applyNumberFormat="1" applyFont="1" applyProtection="1"/>
    <xf numFmtId="0" fontId="0" fillId="0" borderId="0" xfId="0" applyProtection="1"/>
    <xf numFmtId="0" fontId="0" fillId="0" borderId="21" xfId="0" applyBorder="1" applyProtection="1"/>
    <xf numFmtId="17" fontId="32" fillId="4" borderId="19" xfId="0" applyNumberFormat="1" applyFont="1" applyFill="1" applyBorder="1" applyAlignment="1" applyProtection="1">
      <alignment horizontal="center" vertical="center"/>
    </xf>
    <xf numFmtId="0" fontId="32" fillId="4" borderId="19" xfId="0" applyFont="1" applyFill="1" applyBorder="1" applyAlignment="1" applyProtection="1">
      <alignment horizontal="center" vertical="center"/>
    </xf>
    <xf numFmtId="0" fontId="29" fillId="6" borderId="21" xfId="0" applyFont="1" applyFill="1" applyBorder="1" applyProtection="1"/>
    <xf numFmtId="8" fontId="29" fillId="6" borderId="19" xfId="0" applyNumberFormat="1" applyFont="1" applyFill="1" applyBorder="1" applyProtection="1"/>
    <xf numFmtId="0" fontId="32" fillId="4" borderId="21" xfId="0" applyFont="1" applyFill="1" applyBorder="1" applyProtection="1"/>
    <xf numFmtId="8" fontId="5" fillId="4" borderId="20" xfId="0" applyNumberFormat="1" applyFont="1" applyFill="1" applyBorder="1" applyProtection="1"/>
    <xf numFmtId="8" fontId="32" fillId="4" borderId="20" xfId="0" applyNumberFormat="1" applyFont="1" applyFill="1" applyBorder="1" applyProtection="1"/>
    <xf numFmtId="8" fontId="19" fillId="2" borderId="0" xfId="0" applyNumberFormat="1" applyFont="1" applyFill="1" applyBorder="1" applyAlignment="1" applyProtection="1">
      <alignment vertical="center"/>
    </xf>
    <xf numFmtId="0" fontId="19" fillId="2" borderId="0" xfId="2" applyFont="1" applyFill="1" applyBorder="1" applyAlignment="1" applyProtection="1">
      <alignment vertical="center" wrapText="1"/>
    </xf>
    <xf numFmtId="0" fontId="35" fillId="2" borderId="0" xfId="0" applyFont="1" applyFill="1" applyBorder="1" applyAlignment="1" applyProtection="1">
      <alignment vertical="center" wrapText="1"/>
    </xf>
    <xf numFmtId="8" fontId="11" fillId="3" borderId="15" xfId="0" applyNumberFormat="1" applyFont="1" applyFill="1" applyBorder="1" applyAlignment="1" applyProtection="1">
      <alignment horizontal="center" vertical="center"/>
    </xf>
    <xf numFmtId="0" fontId="8" fillId="3" borderId="22" xfId="0" applyFont="1" applyFill="1" applyBorder="1" applyAlignment="1" applyProtection="1">
      <alignment horizontal="left" vertical="center" indent="1"/>
      <protection locked="0"/>
    </xf>
    <xf numFmtId="8" fontId="11" fillId="3" borderId="23" xfId="0" applyNumberFormat="1" applyFont="1" applyFill="1" applyBorder="1" applyAlignment="1" applyProtection="1">
      <alignment horizontal="center" vertical="center"/>
    </xf>
    <xf numFmtId="0" fontId="8" fillId="3" borderId="24" xfId="0" applyFont="1" applyFill="1" applyBorder="1" applyAlignment="1" applyProtection="1">
      <alignment horizontal="left" vertical="center" indent="1"/>
      <protection locked="0"/>
    </xf>
    <xf numFmtId="0" fontId="25" fillId="6" borderId="16" xfId="0" applyFont="1" applyFill="1" applyBorder="1" applyAlignment="1" applyProtection="1">
      <alignment horizontal="left" vertical="center" indent="1"/>
      <protection locked="0"/>
    </xf>
    <xf numFmtId="0" fontId="17" fillId="6" borderId="16" xfId="0" applyFont="1" applyFill="1" applyBorder="1" applyAlignment="1" applyProtection="1">
      <alignment horizontal="left" vertical="center" indent="1"/>
      <protection locked="0"/>
    </xf>
    <xf numFmtId="8" fontId="10" fillId="2" borderId="8" xfId="0" applyNumberFormat="1" applyFont="1" applyFill="1" applyBorder="1" applyAlignment="1" applyProtection="1">
      <alignment horizontal="center" vertical="center"/>
    </xf>
    <xf numFmtId="0" fontId="8" fillId="3" borderId="14" xfId="2" applyFont="1" applyFill="1" applyBorder="1" applyAlignment="1" applyProtection="1">
      <alignment horizontal="left" vertical="center" indent="1"/>
    </xf>
    <xf numFmtId="0" fontId="36" fillId="0" borderId="0" xfId="0" applyFont="1" applyProtection="1"/>
    <xf numFmtId="8" fontId="10" fillId="2" borderId="11" xfId="0" applyNumberFormat="1" applyFont="1" applyFill="1" applyBorder="1" applyAlignment="1" applyProtection="1">
      <alignment horizontal="center" vertical="center"/>
    </xf>
    <xf numFmtId="0" fontId="10" fillId="2" borderId="10" xfId="2" applyFont="1" applyFill="1" applyBorder="1" applyAlignment="1" applyProtection="1">
      <alignment horizontal="left" vertical="center" indent="1"/>
    </xf>
    <xf numFmtId="0" fontId="10" fillId="2" borderId="7" xfId="2" applyFont="1" applyFill="1" applyBorder="1" applyAlignment="1" applyProtection="1">
      <alignment horizontal="left" vertical="center" indent="1"/>
    </xf>
    <xf numFmtId="0" fontId="25" fillId="6" borderId="16" xfId="0" applyFont="1" applyFill="1" applyBorder="1" applyAlignment="1" applyProtection="1">
      <alignment horizontal="left" vertical="center" indent="1"/>
      <protection locked="0"/>
    </xf>
    <xf numFmtId="0" fontId="24" fillId="2" borderId="0" xfId="0" applyFont="1" applyFill="1" applyBorder="1" applyAlignment="1" applyProtection="1">
      <alignment vertical="center" wrapText="1"/>
    </xf>
    <xf numFmtId="0" fontId="38" fillId="2" borderId="0" xfId="1" applyFont="1" applyFill="1" applyBorder="1" applyAlignment="1" applyProtection="1">
      <alignment wrapText="1"/>
    </xf>
    <xf numFmtId="0" fontId="39" fillId="2" borderId="0" xfId="1" applyFont="1" applyFill="1" applyBorder="1" applyAlignment="1" applyProtection="1">
      <alignment vertical="top" wrapText="1"/>
    </xf>
    <xf numFmtId="0" fontId="39" fillId="2" borderId="0" xfId="1" applyFont="1" applyFill="1" applyBorder="1" applyAlignment="1" applyProtection="1">
      <alignment horizontal="center" vertical="top" wrapText="1"/>
    </xf>
    <xf numFmtId="0" fontId="21" fillId="0" borderId="0" xfId="2" applyFont="1" applyFill="1" applyBorder="1" applyAlignment="1" applyProtection="1">
      <alignment horizontal="left" vertical="center" indent="11"/>
    </xf>
    <xf numFmtId="0" fontId="15" fillId="0" borderId="0" xfId="0" applyFont="1" applyAlignment="1" applyProtection="1">
      <alignment horizontal="left" wrapText="1"/>
    </xf>
    <xf numFmtId="0" fontId="15" fillId="0" borderId="0" xfId="0" applyFont="1" applyAlignment="1" applyProtection="1">
      <alignment vertical="center" wrapText="1"/>
    </xf>
    <xf numFmtId="0" fontId="8" fillId="0" borderId="0" xfId="0" applyFont="1" applyAlignment="1" applyProtection="1">
      <alignment horizontal="center" wrapText="1"/>
    </xf>
    <xf numFmtId="0" fontId="39" fillId="2" borderId="0" xfId="1" applyFont="1" applyFill="1" applyBorder="1" applyAlignment="1" applyProtection="1">
      <alignment horizontal="left" vertical="top" wrapText="1"/>
    </xf>
    <xf numFmtId="0" fontId="43" fillId="2" borderId="0" xfId="1" applyFont="1" applyFill="1" applyBorder="1" applyAlignment="1" applyProtection="1">
      <alignment horizontal="left" vertical="top" wrapText="1"/>
    </xf>
    <xf numFmtId="0" fontId="25" fillId="2" borderId="17" xfId="3" applyFont="1" applyFill="1" applyBorder="1" applyAlignment="1" applyProtection="1">
      <alignment horizontal="left" vertical="center" indent="1"/>
    </xf>
    <xf numFmtId="0" fontId="26" fillId="2" borderId="18" xfId="3" applyFont="1" applyFill="1" applyBorder="1" applyAlignment="1" applyProtection="1">
      <alignment horizontal="left" vertical="center" indent="1"/>
    </xf>
    <xf numFmtId="8" fontId="34" fillId="6" borderId="0" xfId="0" applyNumberFormat="1" applyFont="1" applyFill="1" applyBorder="1" applyAlignment="1" applyProtection="1">
      <alignment horizontal="center" vertical="center"/>
    </xf>
    <xf numFmtId="8" fontId="8" fillId="2" borderId="0" xfId="0" applyNumberFormat="1" applyFont="1" applyFill="1" applyBorder="1" applyAlignment="1" applyProtection="1">
      <alignment horizontal="center" vertical="center"/>
    </xf>
    <xf numFmtId="0" fontId="37" fillId="4" borderId="25" xfId="0" applyFont="1" applyFill="1" applyBorder="1" applyAlignment="1" applyProtection="1">
      <alignment horizontal="center" vertical="center" wrapText="1"/>
    </xf>
    <xf numFmtId="0" fontId="37" fillId="4" borderId="0" xfId="0" applyFont="1" applyFill="1" applyBorder="1" applyAlignment="1" applyProtection="1">
      <alignment horizontal="center" vertical="center" wrapText="1"/>
    </xf>
    <xf numFmtId="49" fontId="27" fillId="0" borderId="0" xfId="0" applyNumberFormat="1" applyFont="1" applyAlignment="1" applyProtection="1">
      <alignment horizontal="left" vertical="center" indent="11"/>
    </xf>
    <xf numFmtId="0" fontId="33" fillId="6" borderId="0" xfId="2" applyFont="1" applyFill="1" applyBorder="1" applyAlignment="1" applyProtection="1">
      <alignment horizontal="center" vertical="center" wrapText="1"/>
    </xf>
    <xf numFmtId="0" fontId="19" fillId="5" borderId="0" xfId="2" applyFont="1" applyFill="1" applyBorder="1" applyAlignment="1" applyProtection="1">
      <alignment horizontal="center" vertical="center" wrapText="1"/>
    </xf>
    <xf numFmtId="8" fontId="19" fillId="5" borderId="0" xfId="0" applyNumberFormat="1" applyFont="1" applyFill="1" applyBorder="1" applyAlignment="1" applyProtection="1">
      <alignment horizontal="center" vertical="center"/>
    </xf>
    <xf numFmtId="0" fontId="25" fillId="2" borderId="17" xfId="3" applyFont="1" applyFill="1" applyBorder="1" applyAlignment="1" applyProtection="1">
      <alignment horizontal="left" vertical="center" indent="1"/>
      <protection locked="0"/>
    </xf>
    <xf numFmtId="0" fontId="26" fillId="2" borderId="18" xfId="3" applyFont="1" applyFill="1" applyBorder="1" applyAlignment="1" applyProtection="1">
      <alignment horizontal="left" vertical="center" indent="1"/>
      <protection locked="0"/>
    </xf>
    <xf numFmtId="0" fontId="0" fillId="0" borderId="0" xfId="0" applyFont="1" applyAlignment="1" applyProtection="1">
      <alignment horizontal="center"/>
      <protection locked="0"/>
    </xf>
    <xf numFmtId="0" fontId="17" fillId="2" borderId="0" xfId="0" applyFont="1" applyFill="1" applyBorder="1" applyAlignment="1" applyProtection="1">
      <alignment horizontal="left" vertical="center" indent="1"/>
      <protection locked="0"/>
    </xf>
    <xf numFmtId="0" fontId="19" fillId="2" borderId="0" xfId="2" applyFont="1" applyFill="1" applyBorder="1" applyAlignment="1" applyProtection="1">
      <alignment horizontal="left" vertical="center" wrapText="1" indent="1"/>
    </xf>
    <xf numFmtId="0" fontId="25" fillId="6" borderId="16" xfId="0" applyFont="1" applyFill="1" applyBorder="1" applyAlignment="1" applyProtection="1">
      <alignment horizontal="left" vertical="center" indent="1"/>
      <protection locked="0"/>
    </xf>
    <xf numFmtId="0" fontId="44" fillId="4" borderId="0" xfId="1" applyFont="1" applyFill="1" applyBorder="1" applyAlignment="1" applyProtection="1">
      <alignment horizontal="left" vertical="center" wrapText="1"/>
    </xf>
    <xf numFmtId="17" fontId="27" fillId="0" borderId="0" xfId="0" applyNumberFormat="1" applyFont="1" applyAlignment="1" applyProtection="1">
      <alignment horizontal="left" vertical="center" indent="11"/>
    </xf>
    <xf numFmtId="0" fontId="27" fillId="0" borderId="0" xfId="0" applyFont="1" applyAlignment="1" applyProtection="1">
      <alignment horizontal="left" vertical="center" indent="11"/>
    </xf>
  </cellXfs>
  <cellStyles count="6">
    <cellStyle name="Data" xfId="5" xr:uid="{FE33F3B2-B201-45AD-A81E-81BCB12ED9D2}"/>
    <cellStyle name="Normal" xfId="0" builtinId="0" customBuiltin="1"/>
    <cellStyle name="Telefone" xfId="4" xr:uid="{70E46558-98AC-446F-861A-54F270CBD905}"/>
    <cellStyle name="Título 1" xfId="1" builtinId="16" customBuiltin="1"/>
    <cellStyle name="Título 2" xfId="2" builtinId="17" customBuiltin="1"/>
    <cellStyle name="Título 3" xfId="3" builtinId="18" customBuiltin="1"/>
  </cellStyles>
  <dxfs count="1404">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6795556505021"/>
        </bottom>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3743705557422"/>
        </left>
        <right style="thin">
          <color theme="0" tint="-0.14993743705557422"/>
        </right>
        <top/>
        <bottom/>
      </border>
      <protection locked="0" hidden="0"/>
    </dxf>
    <dxf>
      <font>
        <b val="0"/>
        <i val="0"/>
        <strike val="0"/>
        <outline val="0"/>
        <shadow val="0"/>
        <u val="none"/>
        <vertAlign val="baseline"/>
        <sz val="12"/>
        <color theme="1" tint="0.34998626667073579"/>
        <name val="Calibri"/>
        <scheme val="minor"/>
      </font>
      <fill>
        <patternFill>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strike val="0"/>
        <outline val="0"/>
        <shadow val="0"/>
        <u val="none"/>
        <vertAlign val="baseline"/>
        <sz val="12"/>
        <color theme="1" tint="0.24994659260841701"/>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strike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outline="0">
        <left style="thin">
          <color theme="0" tint="-0.14990691854609822"/>
        </left>
        <right style="thin">
          <color theme="0" tint="-0.14990691854609822"/>
        </right>
        <top/>
        <bottom/>
      </border>
      <protection locked="0" hidden="0"/>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0" hidden="0"/>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2" formatCode="&quot;R$&quot;\ #,##0.00;[Red]\-&quot;R$&quot;\ #,##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top/>
        <bottom style="thin">
          <color theme="0" tint="-0.14996795556505021"/>
        </bottom>
        <vertical/>
        <horizontal/>
      </border>
      <protection locked="1"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2"/>
        <color theme="1" tint="0.34998626667073579"/>
        <name val="Calibri"/>
        <family val="2"/>
        <scheme val="minor"/>
      </font>
      <numFmt numFmtId="12" formatCode="&quot;R$&quot;\ #,##0.00;[Red]\-&quot;R$&quot;\ #,##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indexed="64"/>
        </bottom>
      </border>
      <protection locked="1" hidden="0"/>
    </dxf>
    <dxf>
      <font>
        <b val="0"/>
        <i val="0"/>
        <strike val="0"/>
        <outline val="0"/>
        <shadow val="0"/>
        <u val="none"/>
        <vertAlign val="baseline"/>
        <sz val="12"/>
        <color theme="1" tint="0.34998626667073579"/>
        <name val="Calibri"/>
        <scheme val="minor"/>
      </font>
      <numFmt numFmtId="167" formatCode="&quot;R$&quot;\ #,##0.00"/>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indexed="64"/>
        </bottom>
      </border>
      <protection locked="0" hidden="0"/>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outline="0">
        <left style="thin">
          <color theme="0" tint="-0.14990691854609822"/>
        </left>
        <right style="thin">
          <color theme="0" tint="-0.14990691854609822"/>
        </right>
        <top/>
        <bottom/>
      </border>
      <protection locked="0" hidden="0"/>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0" hidden="0"/>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outline="0">
        <left style="thin">
          <color theme="0" tint="-0.14996795556505021"/>
        </left>
        <right style="thin">
          <color theme="0" tint="-0.14996795556505021"/>
        </right>
        <top/>
        <bottom/>
      </border>
      <protection locked="0" hidden="0"/>
    </dxf>
    <dxf>
      <font>
        <b/>
        <i val="0"/>
        <color theme="0"/>
      </font>
      <fill>
        <patternFill>
          <bgColor theme="5"/>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theme="5"/>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color theme="0"/>
      </font>
      <fill>
        <patternFill>
          <bgColor theme="9"/>
        </patternFill>
      </fill>
    </dxf>
    <dxf>
      <font>
        <b/>
        <i val="0"/>
        <color theme="0"/>
      </font>
      <fill>
        <patternFill>
          <bgColor rgb="FFFF0000"/>
        </patternFill>
      </fill>
      <border>
        <left style="thin">
          <color auto="1"/>
        </left>
        <right style="thin">
          <color auto="1"/>
        </right>
        <top style="thin">
          <color auto="1"/>
        </top>
        <bottom style="thin">
          <color auto="1"/>
        </bottom>
        <vertical/>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Medium2" defaultPivotStyle="PivotStyleLight16">
    <tableStyle name="Catálogo de endereços" pivot="0" count="5" xr9:uid="{00000000-0011-0000-FFFF-FFFF00000000}">
      <tableStyleElement type="wholeTable" dxfId="1403"/>
      <tableStyleElement type="headerRow" dxfId="1402"/>
      <tableStyleElement type="totalRow" dxfId="1401"/>
      <tableStyleElement type="firstRowStripe" dxfId="1400"/>
      <tableStyleElement type="secondRowStripe" dxfId="1399"/>
    </tableStyle>
    <tableStyle name="Orçamento pessoal mensal" pivot="0" count="7" xr9:uid="{DF2684C2-C435-47FA-9646-E632C3AE8948}">
      <tableStyleElement type="wholeTable" dxfId="1398"/>
      <tableStyleElement type="headerRow" dxfId="1397"/>
      <tableStyleElement type="totalRow" dxfId="1396"/>
      <tableStyleElement type="firstColumn" dxfId="1395"/>
      <tableStyleElement type="lastColumn" dxfId="1394"/>
      <tableStyleElement type="firstRowStripe" dxfId="1393"/>
      <tableStyleElement type="firstColumnStripe" dxfId="139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740198109911189E-2"/>
          <c:y val="7.953723788864786E-2"/>
          <c:w val="0.92387590096129624"/>
          <c:h val="0.58732186676231635"/>
        </c:manualLayout>
      </c:layout>
      <c:barChart>
        <c:barDir val="col"/>
        <c:grouping val="clustered"/>
        <c:varyColors val="0"/>
        <c:ser>
          <c:idx val="0"/>
          <c:order val="0"/>
          <c:tx>
            <c:strRef>
              <c:f>Consolidado!$B$8</c:f>
              <c:strCache>
                <c:ptCount val="1"/>
                <c:pt idx="0">
                  <c:v>Receita</c:v>
                </c:pt>
              </c:strCache>
            </c:strRef>
          </c:tx>
          <c:spPr>
            <a:solidFill>
              <a:schemeClr val="accent2"/>
            </a:solidFill>
            <a:ln>
              <a:solidFill>
                <a:schemeClr val="accent2"/>
              </a:solidFill>
            </a:ln>
            <a:effectLst/>
          </c:spPr>
          <c:invertIfNegative val="0"/>
          <c:cat>
            <c:numRef>
              <c:f>Consolidado!$C$7:$N$7</c:f>
              <c:numCache>
                <c:formatCode>mmm\-yy</c:formatCode>
                <c:ptCount val="12"/>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numCache>
            </c:numRef>
          </c:cat>
          <c:val>
            <c:numRef>
              <c:f>Consolidado!$C$8:$N$8</c:f>
              <c:numCache>
                <c:formatCode>"R$"#,##0.00_);[Red]\("R$"#,##0.00\)</c:formatCode>
                <c:ptCount val="12"/>
                <c:pt idx="0">
                  <c:v>220</c:v>
                </c:pt>
                <c:pt idx="1">
                  <c:v>220</c:v>
                </c:pt>
                <c:pt idx="2">
                  <c:v>220</c:v>
                </c:pt>
                <c:pt idx="3">
                  <c:v>220</c:v>
                </c:pt>
                <c:pt idx="4">
                  <c:v>220</c:v>
                </c:pt>
                <c:pt idx="5">
                  <c:v>220</c:v>
                </c:pt>
                <c:pt idx="6">
                  <c:v>220</c:v>
                </c:pt>
                <c:pt idx="7">
                  <c:v>220</c:v>
                </c:pt>
                <c:pt idx="8">
                  <c:v>220</c:v>
                </c:pt>
                <c:pt idx="9">
                  <c:v>220</c:v>
                </c:pt>
                <c:pt idx="10">
                  <c:v>220</c:v>
                </c:pt>
                <c:pt idx="11">
                  <c:v>220</c:v>
                </c:pt>
              </c:numCache>
            </c:numRef>
          </c:val>
          <c:extLst>
            <c:ext xmlns:c16="http://schemas.microsoft.com/office/drawing/2014/chart" uri="{C3380CC4-5D6E-409C-BE32-E72D297353CC}">
              <c16:uniqueId val="{00000000-BD32-4ECA-B8D8-06E53E919C7E}"/>
            </c:ext>
          </c:extLst>
        </c:ser>
        <c:ser>
          <c:idx val="1"/>
          <c:order val="1"/>
          <c:tx>
            <c:strRef>
              <c:f>Consolidado!$B$9</c:f>
              <c:strCache>
                <c:ptCount val="1"/>
                <c:pt idx="0">
                  <c:v>Custo Real</c:v>
                </c:pt>
              </c:strCache>
            </c:strRef>
          </c:tx>
          <c:spPr>
            <a:solidFill>
              <a:schemeClr val="bg1">
                <a:lumMod val="85000"/>
              </a:schemeClr>
            </a:solidFill>
            <a:ln>
              <a:noFill/>
            </a:ln>
            <a:effectLst/>
          </c:spPr>
          <c:invertIfNegative val="0"/>
          <c:cat>
            <c:numRef>
              <c:f>Consolidado!$C$7:$N$7</c:f>
              <c:numCache>
                <c:formatCode>mmm\-yy</c:formatCode>
                <c:ptCount val="12"/>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numCache>
            </c:numRef>
          </c:cat>
          <c:val>
            <c:numRef>
              <c:f>Consolidado!$C$9:$N$9</c:f>
              <c:numCache>
                <c:formatCode>"R$"#,##0.00_);[Red]\("R$"#,##0.00\)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D32-4ECA-B8D8-06E53E919C7E}"/>
            </c:ext>
          </c:extLst>
        </c:ser>
        <c:dLbls>
          <c:showLegendKey val="0"/>
          <c:showVal val="0"/>
          <c:showCatName val="0"/>
          <c:showSerName val="0"/>
          <c:showPercent val="0"/>
          <c:showBubbleSize val="0"/>
        </c:dLbls>
        <c:gapWidth val="150"/>
        <c:axId val="1402934736"/>
        <c:axId val="1402950128"/>
      </c:barChart>
      <c:dateAx>
        <c:axId val="140293473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402950128"/>
        <c:crosses val="autoZero"/>
        <c:auto val="1"/>
        <c:lblOffset val="100"/>
        <c:baseTimeUnit val="months"/>
      </c:dateAx>
      <c:valAx>
        <c:axId val="1402950128"/>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00_);[Red]\(&quot;R$&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40293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1051560</xdr:colOff>
      <xdr:row>0</xdr:row>
      <xdr:rowOff>182880</xdr:rowOff>
    </xdr:from>
    <xdr:to>
      <xdr:col>0</xdr:col>
      <xdr:colOff>4838253</xdr:colOff>
      <xdr:row>2</xdr:row>
      <xdr:rowOff>114300</xdr:rowOff>
    </xdr:to>
    <xdr:pic>
      <xdr:nvPicPr>
        <xdr:cNvPr id="4" name="Imagem 3">
          <a:extLst>
            <a:ext uri="{FF2B5EF4-FFF2-40B4-BE49-F238E27FC236}">
              <a16:creationId xmlns:a16="http://schemas.microsoft.com/office/drawing/2014/main" id="{F7E99193-5AFF-4ED9-9540-BBD6AB41E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560" y="182880"/>
          <a:ext cx="3786693" cy="1219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6</xdr:col>
      <xdr:colOff>3208</xdr:colOff>
      <xdr:row>4</xdr:row>
      <xdr:rowOff>32657</xdr:rowOff>
    </xdr:to>
    <xdr:pic>
      <xdr:nvPicPr>
        <xdr:cNvPr id="5" name="Imagem 4">
          <a:extLst>
            <a:ext uri="{FF2B5EF4-FFF2-40B4-BE49-F238E27FC236}">
              <a16:creationId xmlns:a16="http://schemas.microsoft.com/office/drawing/2014/main" id="{5E4CBE97-25DF-4BB0-87A3-101D391A77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37800" cy="1830977"/>
        </a:xfrm>
        <a:prstGeom prst="rect">
          <a:avLst/>
        </a:prstGeom>
      </xdr:spPr>
    </xdr:pic>
    <xdr:clientData/>
  </xdr:twoCellAnchor>
  <xdr:twoCellAnchor editAs="oneCell">
    <xdr:from>
      <xdr:col>2</xdr:col>
      <xdr:colOff>1349830</xdr:colOff>
      <xdr:row>0</xdr:row>
      <xdr:rowOff>228600</xdr:rowOff>
    </xdr:from>
    <xdr:to>
      <xdr:col>5</xdr:col>
      <xdr:colOff>2854174</xdr:colOff>
      <xdr:row>4</xdr:row>
      <xdr:rowOff>32657</xdr:rowOff>
    </xdr:to>
    <xdr:pic>
      <xdr:nvPicPr>
        <xdr:cNvPr id="3" name="Imagem 2">
          <a:extLst>
            <a:ext uri="{FF2B5EF4-FFF2-40B4-BE49-F238E27FC236}">
              <a16:creationId xmlns:a16="http://schemas.microsoft.com/office/drawing/2014/main" id="{FB005D69-CA63-4513-AFAD-9465E92423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18204" cy="18309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6</xdr:col>
      <xdr:colOff>5386</xdr:colOff>
      <xdr:row>4</xdr:row>
      <xdr:rowOff>32657</xdr:rowOff>
    </xdr:to>
    <xdr:pic>
      <xdr:nvPicPr>
        <xdr:cNvPr id="5" name="Imagem 4">
          <a:extLst>
            <a:ext uri="{FF2B5EF4-FFF2-40B4-BE49-F238E27FC236}">
              <a16:creationId xmlns:a16="http://schemas.microsoft.com/office/drawing/2014/main" id="{5031CCA5-DB2C-403C-8CDC-11BA3D8741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39978" cy="1830977"/>
        </a:xfrm>
        <a:prstGeom prst="rect">
          <a:avLst/>
        </a:prstGeom>
      </xdr:spPr>
    </xdr:pic>
    <xdr:clientData/>
  </xdr:twoCellAnchor>
  <xdr:twoCellAnchor editAs="oneCell">
    <xdr:from>
      <xdr:col>2</xdr:col>
      <xdr:colOff>1349830</xdr:colOff>
      <xdr:row>0</xdr:row>
      <xdr:rowOff>228600</xdr:rowOff>
    </xdr:from>
    <xdr:to>
      <xdr:col>5</xdr:col>
      <xdr:colOff>2854174</xdr:colOff>
      <xdr:row>4</xdr:row>
      <xdr:rowOff>32657</xdr:rowOff>
    </xdr:to>
    <xdr:pic>
      <xdr:nvPicPr>
        <xdr:cNvPr id="3" name="Imagem 2">
          <a:extLst>
            <a:ext uri="{FF2B5EF4-FFF2-40B4-BE49-F238E27FC236}">
              <a16:creationId xmlns:a16="http://schemas.microsoft.com/office/drawing/2014/main" id="{002B1A54-0475-499D-92AB-D73352D6D0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18204" cy="183097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6</xdr:col>
      <xdr:colOff>7564</xdr:colOff>
      <xdr:row>4</xdr:row>
      <xdr:rowOff>32657</xdr:rowOff>
    </xdr:to>
    <xdr:pic>
      <xdr:nvPicPr>
        <xdr:cNvPr id="5" name="Imagem 4">
          <a:extLst>
            <a:ext uri="{FF2B5EF4-FFF2-40B4-BE49-F238E27FC236}">
              <a16:creationId xmlns:a16="http://schemas.microsoft.com/office/drawing/2014/main" id="{5BB9937B-DAD5-40FE-AD86-CFDD4E03ED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42156" cy="1830977"/>
        </a:xfrm>
        <a:prstGeom prst="rect">
          <a:avLst/>
        </a:prstGeom>
      </xdr:spPr>
    </xdr:pic>
    <xdr:clientData/>
  </xdr:twoCellAnchor>
  <xdr:twoCellAnchor editAs="oneCell">
    <xdr:from>
      <xdr:col>2</xdr:col>
      <xdr:colOff>1349830</xdr:colOff>
      <xdr:row>0</xdr:row>
      <xdr:rowOff>228600</xdr:rowOff>
    </xdr:from>
    <xdr:to>
      <xdr:col>5</xdr:col>
      <xdr:colOff>2854174</xdr:colOff>
      <xdr:row>4</xdr:row>
      <xdr:rowOff>32657</xdr:rowOff>
    </xdr:to>
    <xdr:pic>
      <xdr:nvPicPr>
        <xdr:cNvPr id="3" name="Imagem 2">
          <a:extLst>
            <a:ext uri="{FF2B5EF4-FFF2-40B4-BE49-F238E27FC236}">
              <a16:creationId xmlns:a16="http://schemas.microsoft.com/office/drawing/2014/main" id="{6BDD71F4-76CB-485E-85EF-7DE83B7D4C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18204" cy="183097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6</xdr:col>
      <xdr:colOff>7564</xdr:colOff>
      <xdr:row>4</xdr:row>
      <xdr:rowOff>32657</xdr:rowOff>
    </xdr:to>
    <xdr:pic>
      <xdr:nvPicPr>
        <xdr:cNvPr id="5" name="Imagem 4">
          <a:extLst>
            <a:ext uri="{FF2B5EF4-FFF2-40B4-BE49-F238E27FC236}">
              <a16:creationId xmlns:a16="http://schemas.microsoft.com/office/drawing/2014/main" id="{CE646593-1F0D-4890-A3E2-3AB9036961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42156" cy="1830977"/>
        </a:xfrm>
        <a:prstGeom prst="rect">
          <a:avLst/>
        </a:prstGeom>
      </xdr:spPr>
    </xdr:pic>
    <xdr:clientData/>
  </xdr:twoCellAnchor>
  <xdr:twoCellAnchor editAs="oneCell">
    <xdr:from>
      <xdr:col>2</xdr:col>
      <xdr:colOff>1349830</xdr:colOff>
      <xdr:row>0</xdr:row>
      <xdr:rowOff>228600</xdr:rowOff>
    </xdr:from>
    <xdr:to>
      <xdr:col>5</xdr:col>
      <xdr:colOff>2854174</xdr:colOff>
      <xdr:row>4</xdr:row>
      <xdr:rowOff>32657</xdr:rowOff>
    </xdr:to>
    <xdr:pic>
      <xdr:nvPicPr>
        <xdr:cNvPr id="3" name="Imagem 2">
          <a:extLst>
            <a:ext uri="{FF2B5EF4-FFF2-40B4-BE49-F238E27FC236}">
              <a16:creationId xmlns:a16="http://schemas.microsoft.com/office/drawing/2014/main" id="{4AB259DC-6D2B-4723-B6C4-CAE1213BC3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18204" cy="183097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480060</xdr:colOff>
      <xdr:row>10</xdr:row>
      <xdr:rowOff>171450</xdr:rowOff>
    </xdr:from>
    <xdr:to>
      <xdr:col>15</xdr:col>
      <xdr:colOff>190500</xdr:colOff>
      <xdr:row>21</xdr:row>
      <xdr:rowOff>0</xdr:rowOff>
    </xdr:to>
    <xdr:graphicFrame macro="">
      <xdr:nvGraphicFramePr>
        <xdr:cNvPr id="2" name="Gráfico 1">
          <a:extLst>
            <a:ext uri="{FF2B5EF4-FFF2-40B4-BE49-F238E27FC236}">
              <a16:creationId xmlns:a16="http://schemas.microsoft.com/office/drawing/2014/main" id="{76D37241-42CD-4962-A8DB-8178B48F57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714699</xdr:colOff>
      <xdr:row>1</xdr:row>
      <xdr:rowOff>76003</xdr:rowOff>
    </xdr:from>
    <xdr:to>
      <xdr:col>12</xdr:col>
      <xdr:colOff>203563</xdr:colOff>
      <xdr:row>1</xdr:row>
      <xdr:rowOff>1062447</xdr:rowOff>
    </xdr:to>
    <xdr:pic>
      <xdr:nvPicPr>
        <xdr:cNvPr id="3" name="Imagem 2">
          <a:extLst>
            <a:ext uri="{FF2B5EF4-FFF2-40B4-BE49-F238E27FC236}">
              <a16:creationId xmlns:a16="http://schemas.microsoft.com/office/drawing/2014/main" id="{82EC5522-ED53-4A01-8B90-72A6A52BCA16}"/>
            </a:ext>
          </a:extLst>
        </xdr:cNvPr>
        <xdr:cNvPicPr>
          <a:picLocks noChangeAspect="1"/>
        </xdr:cNvPicPr>
      </xdr:nvPicPr>
      <xdr:blipFill>
        <a:blip xmlns:r="http://schemas.openxmlformats.org/officeDocument/2006/relationships" r:embed="rId2"/>
        <a:stretch>
          <a:fillRect/>
        </a:stretch>
      </xdr:blipFill>
      <xdr:spPr>
        <a:xfrm>
          <a:off x="5166956" y="326374"/>
          <a:ext cx="5127664" cy="986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5</xdr:col>
      <xdr:colOff>2850908</xdr:colOff>
      <xdr:row>4</xdr:row>
      <xdr:rowOff>32657</xdr:rowOff>
    </xdr:to>
    <xdr:pic>
      <xdr:nvPicPr>
        <xdr:cNvPr id="4" name="Imagem 3">
          <a:extLst>
            <a:ext uri="{FF2B5EF4-FFF2-40B4-BE49-F238E27FC236}">
              <a16:creationId xmlns:a16="http://schemas.microsoft.com/office/drawing/2014/main" id="{51098B2A-E92E-4ED7-B685-86B9FBEC04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7801" y="228600"/>
          <a:ext cx="5713850" cy="1839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5</xdr:col>
      <xdr:colOff>2854174</xdr:colOff>
      <xdr:row>4</xdr:row>
      <xdr:rowOff>32657</xdr:rowOff>
    </xdr:to>
    <xdr:pic>
      <xdr:nvPicPr>
        <xdr:cNvPr id="6" name="Imagem 5">
          <a:extLst>
            <a:ext uri="{FF2B5EF4-FFF2-40B4-BE49-F238E27FC236}">
              <a16:creationId xmlns:a16="http://schemas.microsoft.com/office/drawing/2014/main" id="{4FEC8376-5FDF-4E2E-B305-AA62E6F492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7801" y="228600"/>
          <a:ext cx="5717116" cy="18396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5</xdr:col>
      <xdr:colOff>2857440</xdr:colOff>
      <xdr:row>4</xdr:row>
      <xdr:rowOff>32657</xdr:rowOff>
    </xdr:to>
    <xdr:pic>
      <xdr:nvPicPr>
        <xdr:cNvPr id="9" name="Imagem 8">
          <a:extLst>
            <a:ext uri="{FF2B5EF4-FFF2-40B4-BE49-F238E27FC236}">
              <a16:creationId xmlns:a16="http://schemas.microsoft.com/office/drawing/2014/main" id="{57C7DE04-12A8-4200-BA93-2D2C9A2581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18204" cy="1830977"/>
        </a:xfrm>
        <a:prstGeom prst="rect">
          <a:avLst/>
        </a:prstGeom>
      </xdr:spPr>
    </xdr:pic>
    <xdr:clientData/>
  </xdr:twoCellAnchor>
  <xdr:twoCellAnchor editAs="oneCell">
    <xdr:from>
      <xdr:col>2</xdr:col>
      <xdr:colOff>1349830</xdr:colOff>
      <xdr:row>0</xdr:row>
      <xdr:rowOff>228600</xdr:rowOff>
    </xdr:from>
    <xdr:to>
      <xdr:col>5</xdr:col>
      <xdr:colOff>2854174</xdr:colOff>
      <xdr:row>4</xdr:row>
      <xdr:rowOff>32657</xdr:rowOff>
    </xdr:to>
    <xdr:pic>
      <xdr:nvPicPr>
        <xdr:cNvPr id="3" name="Imagem 2">
          <a:extLst>
            <a:ext uri="{FF2B5EF4-FFF2-40B4-BE49-F238E27FC236}">
              <a16:creationId xmlns:a16="http://schemas.microsoft.com/office/drawing/2014/main" id="{632BCFCC-BE30-4383-A16D-A5C62257A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18204" cy="18309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5</xdr:col>
      <xdr:colOff>2860706</xdr:colOff>
      <xdr:row>4</xdr:row>
      <xdr:rowOff>32657</xdr:rowOff>
    </xdr:to>
    <xdr:pic>
      <xdr:nvPicPr>
        <xdr:cNvPr id="12" name="Imagem 11">
          <a:extLst>
            <a:ext uri="{FF2B5EF4-FFF2-40B4-BE49-F238E27FC236}">
              <a16:creationId xmlns:a16="http://schemas.microsoft.com/office/drawing/2014/main" id="{5B5800D5-9750-4FF3-A169-757810A369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21470" cy="1830977"/>
        </a:xfrm>
        <a:prstGeom prst="rect">
          <a:avLst/>
        </a:prstGeom>
      </xdr:spPr>
    </xdr:pic>
    <xdr:clientData/>
  </xdr:twoCellAnchor>
  <xdr:twoCellAnchor editAs="oneCell">
    <xdr:from>
      <xdr:col>2</xdr:col>
      <xdr:colOff>1349830</xdr:colOff>
      <xdr:row>0</xdr:row>
      <xdr:rowOff>228600</xdr:rowOff>
    </xdr:from>
    <xdr:to>
      <xdr:col>5</xdr:col>
      <xdr:colOff>2854174</xdr:colOff>
      <xdr:row>4</xdr:row>
      <xdr:rowOff>32657</xdr:rowOff>
    </xdr:to>
    <xdr:pic>
      <xdr:nvPicPr>
        <xdr:cNvPr id="3" name="Imagem 2">
          <a:extLst>
            <a:ext uri="{FF2B5EF4-FFF2-40B4-BE49-F238E27FC236}">
              <a16:creationId xmlns:a16="http://schemas.microsoft.com/office/drawing/2014/main" id="{6381ED75-AE28-4B79-9095-97CB408CD5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18204" cy="18309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5</xdr:col>
      <xdr:colOff>2863972</xdr:colOff>
      <xdr:row>4</xdr:row>
      <xdr:rowOff>32657</xdr:rowOff>
    </xdr:to>
    <xdr:pic>
      <xdr:nvPicPr>
        <xdr:cNvPr id="15" name="Imagem 14">
          <a:extLst>
            <a:ext uri="{FF2B5EF4-FFF2-40B4-BE49-F238E27FC236}">
              <a16:creationId xmlns:a16="http://schemas.microsoft.com/office/drawing/2014/main" id="{231768AE-73BA-40A5-8BD5-E252461C0F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24736" cy="1830977"/>
        </a:xfrm>
        <a:prstGeom prst="rect">
          <a:avLst/>
        </a:prstGeom>
      </xdr:spPr>
    </xdr:pic>
    <xdr:clientData/>
  </xdr:twoCellAnchor>
  <xdr:twoCellAnchor editAs="oneCell">
    <xdr:from>
      <xdr:col>2</xdr:col>
      <xdr:colOff>1349830</xdr:colOff>
      <xdr:row>0</xdr:row>
      <xdr:rowOff>228600</xdr:rowOff>
    </xdr:from>
    <xdr:to>
      <xdr:col>5</xdr:col>
      <xdr:colOff>2854174</xdr:colOff>
      <xdr:row>4</xdr:row>
      <xdr:rowOff>32657</xdr:rowOff>
    </xdr:to>
    <xdr:pic>
      <xdr:nvPicPr>
        <xdr:cNvPr id="3" name="Imagem 2">
          <a:extLst>
            <a:ext uri="{FF2B5EF4-FFF2-40B4-BE49-F238E27FC236}">
              <a16:creationId xmlns:a16="http://schemas.microsoft.com/office/drawing/2014/main" id="{185D5BDB-0AB6-47F1-8EF2-B63120123D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18204" cy="18309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5</xdr:col>
      <xdr:colOff>2867238</xdr:colOff>
      <xdr:row>4</xdr:row>
      <xdr:rowOff>32657</xdr:rowOff>
    </xdr:to>
    <xdr:pic>
      <xdr:nvPicPr>
        <xdr:cNvPr id="5" name="Imagem 4">
          <a:extLst>
            <a:ext uri="{FF2B5EF4-FFF2-40B4-BE49-F238E27FC236}">
              <a16:creationId xmlns:a16="http://schemas.microsoft.com/office/drawing/2014/main" id="{2FE20A11-84D4-4FB9-A963-AE8FB10C9C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28002" cy="1830977"/>
        </a:xfrm>
        <a:prstGeom prst="rect">
          <a:avLst/>
        </a:prstGeom>
      </xdr:spPr>
    </xdr:pic>
    <xdr:clientData/>
  </xdr:twoCellAnchor>
  <xdr:twoCellAnchor editAs="oneCell">
    <xdr:from>
      <xdr:col>2</xdr:col>
      <xdr:colOff>1349830</xdr:colOff>
      <xdr:row>0</xdr:row>
      <xdr:rowOff>228600</xdr:rowOff>
    </xdr:from>
    <xdr:to>
      <xdr:col>5</xdr:col>
      <xdr:colOff>2854174</xdr:colOff>
      <xdr:row>4</xdr:row>
      <xdr:rowOff>32657</xdr:rowOff>
    </xdr:to>
    <xdr:pic>
      <xdr:nvPicPr>
        <xdr:cNvPr id="3" name="Imagem 2">
          <a:extLst>
            <a:ext uri="{FF2B5EF4-FFF2-40B4-BE49-F238E27FC236}">
              <a16:creationId xmlns:a16="http://schemas.microsoft.com/office/drawing/2014/main" id="{7DBC246D-7688-4CDD-9622-9F3B85B7E3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18204" cy="18309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5</xdr:col>
      <xdr:colOff>2870504</xdr:colOff>
      <xdr:row>4</xdr:row>
      <xdr:rowOff>32657</xdr:rowOff>
    </xdr:to>
    <xdr:pic>
      <xdr:nvPicPr>
        <xdr:cNvPr id="5" name="Imagem 4">
          <a:extLst>
            <a:ext uri="{FF2B5EF4-FFF2-40B4-BE49-F238E27FC236}">
              <a16:creationId xmlns:a16="http://schemas.microsoft.com/office/drawing/2014/main" id="{64C17581-15D5-4DAC-8D91-EA65E70470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31268" cy="1830977"/>
        </a:xfrm>
        <a:prstGeom prst="rect">
          <a:avLst/>
        </a:prstGeom>
      </xdr:spPr>
    </xdr:pic>
    <xdr:clientData/>
  </xdr:twoCellAnchor>
  <xdr:twoCellAnchor editAs="oneCell">
    <xdr:from>
      <xdr:col>2</xdr:col>
      <xdr:colOff>1349830</xdr:colOff>
      <xdr:row>0</xdr:row>
      <xdr:rowOff>228600</xdr:rowOff>
    </xdr:from>
    <xdr:to>
      <xdr:col>5</xdr:col>
      <xdr:colOff>2854174</xdr:colOff>
      <xdr:row>4</xdr:row>
      <xdr:rowOff>32657</xdr:rowOff>
    </xdr:to>
    <xdr:pic>
      <xdr:nvPicPr>
        <xdr:cNvPr id="3" name="Imagem 2">
          <a:extLst>
            <a:ext uri="{FF2B5EF4-FFF2-40B4-BE49-F238E27FC236}">
              <a16:creationId xmlns:a16="http://schemas.microsoft.com/office/drawing/2014/main" id="{909F813D-8656-4BCD-B530-9A09A8BABA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18204" cy="183097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1349830</xdr:colOff>
      <xdr:row>0</xdr:row>
      <xdr:rowOff>228600</xdr:rowOff>
    </xdr:from>
    <xdr:to>
      <xdr:col>5</xdr:col>
      <xdr:colOff>2873770</xdr:colOff>
      <xdr:row>4</xdr:row>
      <xdr:rowOff>32657</xdr:rowOff>
    </xdr:to>
    <xdr:pic>
      <xdr:nvPicPr>
        <xdr:cNvPr id="5" name="Imagem 4">
          <a:extLst>
            <a:ext uri="{FF2B5EF4-FFF2-40B4-BE49-F238E27FC236}">
              <a16:creationId xmlns:a16="http://schemas.microsoft.com/office/drawing/2014/main" id="{3B382E8F-482C-47E9-97D0-F325D6DDA2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34534" cy="1830977"/>
        </a:xfrm>
        <a:prstGeom prst="rect">
          <a:avLst/>
        </a:prstGeom>
      </xdr:spPr>
    </xdr:pic>
    <xdr:clientData/>
  </xdr:twoCellAnchor>
  <xdr:twoCellAnchor editAs="oneCell">
    <xdr:from>
      <xdr:col>2</xdr:col>
      <xdr:colOff>1349830</xdr:colOff>
      <xdr:row>0</xdr:row>
      <xdr:rowOff>228600</xdr:rowOff>
    </xdr:from>
    <xdr:to>
      <xdr:col>5</xdr:col>
      <xdr:colOff>2854174</xdr:colOff>
      <xdr:row>4</xdr:row>
      <xdr:rowOff>32657</xdr:rowOff>
    </xdr:to>
    <xdr:pic>
      <xdr:nvPicPr>
        <xdr:cNvPr id="3" name="Imagem 2">
          <a:extLst>
            <a:ext uri="{FF2B5EF4-FFF2-40B4-BE49-F238E27FC236}">
              <a16:creationId xmlns:a16="http://schemas.microsoft.com/office/drawing/2014/main" id="{A7152A67-EF95-40E1-B238-A4A0C15011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8890" y="228600"/>
          <a:ext cx="5718204" cy="183097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limentação" displayName="Alimentação" ref="F28:I36" totalsRowCount="1" headerRowDxfId="1385" dataDxfId="1383" totalsRowDxfId="1381" headerRowBorderDxfId="1384" tableBorderDxfId="1382" totalsRowBorderDxfId="1380">
  <tableColumns count="4">
    <tableColumn id="1" xr3:uid="{00000000-0010-0000-0200-000001000000}" name="0" totalsRowLabel="Subtotal" dataDxfId="1379" totalsRowDxfId="1378"/>
    <tableColumn id="2" xr3:uid="{00000000-0010-0000-0200-000002000000}" name="Orçado" totalsRowFunction="custom" dataDxfId="1377" totalsRowDxfId="1376">
      <totalsRowFormula>SUM(Alimentação[Orçado])</totalsRowFormula>
    </tableColumn>
    <tableColumn id="3" xr3:uid="{00000000-0010-0000-0200-000003000000}" name="Real" totalsRowFunction="custom" dataDxfId="1375" totalsRowDxfId="1374">
      <totalsRowFormula>SUM(Alimentação[Real])</totalsRowFormula>
    </tableColumn>
    <tableColumn id="4" xr3:uid="{00000000-0010-0000-0200-000004000000}" name="Diferença" totalsRowFunction="custom" dataDxfId="1373" totalsRowDxfId="1372">
      <calculatedColumnFormula>Alimentação[[#This Row],[Orçado]]-Alimentação[[#This Row],[Real]]</calculatedColumnFormula>
      <totalsRowFormula>SUM(Alimentação[Diferença])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F3AD98F6-A03E-4C36-9C2C-168331225883}" name="Saúde99" displayName="Saúde99" ref="A28:D36" totalsRowCount="1" headerRowDxfId="1255" dataDxfId="1253" totalsRowDxfId="1251" headerRowBorderDxfId="1254" tableBorderDxfId="1252" totalsRowBorderDxfId="1250">
  <tableColumns count="4">
    <tableColumn id="1" xr3:uid="{86B51124-05CE-4858-B79E-DCEE0D19EA61}" name="0" totalsRowLabel="Subtotal" dataDxfId="1249" totalsRowDxfId="1248"/>
    <tableColumn id="2" xr3:uid="{8C6EABAE-74CA-4A1E-ACA6-F33AD5C376CE}" name="Orçado" totalsRowFunction="custom" dataDxfId="1247" totalsRowDxfId="1246">
      <totalsRowFormula>SUM(Saúde99[Orçado])</totalsRowFormula>
    </tableColumn>
    <tableColumn id="3" xr3:uid="{550EE9B1-3534-434D-A97F-A030222D6128}" name="Real" totalsRowFunction="custom" dataDxfId="1245" totalsRowDxfId="1244">
      <totalsRowFormula>SUM(Saúde99[Real])</totalsRowFormula>
    </tableColumn>
    <tableColumn id="4" xr3:uid="{21633D5C-4330-43D4-B781-6521854C96BB}" name="Diferença" totalsRowFunction="custom" dataDxfId="1243" totalsRowDxfId="1242">
      <calculatedColumnFormula>Saúde99[[#This Row],[Orçado]]-Saúde99[[#This Row],[Real]]</calculatedColumnFormula>
      <totalsRowFormula>SUM(Saúde99[Diferença])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8F7AD14-2DD7-4B1B-B573-86FB3509523C}" name="Pessoaleducacao100" displayName="Pessoaleducacao100" ref="A39:D47" totalsRowCount="1" headerRowDxfId="1241" dataDxfId="1239" totalsRowDxfId="1237" headerRowBorderDxfId="1240" tableBorderDxfId="1238" totalsRowBorderDxfId="1236">
  <tableColumns count="4">
    <tableColumn id="1" xr3:uid="{D8F5BEAF-78DB-4984-BA28-B7E01A6DD482}" name="0" totalsRowLabel="Subtotal" dataDxfId="1235" totalsRowDxfId="1234"/>
    <tableColumn id="2" xr3:uid="{98DB2734-ECAB-4C39-8EED-18A69EA8ED45}" name="Orçado" totalsRowFunction="custom" dataDxfId="1233" totalsRowDxfId="1232">
      <totalsRowFormula>SUM(Pessoaleducacao100[Orçado])</totalsRowFormula>
    </tableColumn>
    <tableColumn id="3" xr3:uid="{E19057E4-8CBF-4BDF-83D5-D8392F30B87C}" name="Real" totalsRowFunction="custom" dataDxfId="1231" totalsRowDxfId="1230">
      <totalsRowFormula>SUM(Pessoaleducacao100[Real])</totalsRowFormula>
    </tableColumn>
    <tableColumn id="4" xr3:uid="{6F2E09EF-8CF1-4DCA-9B8E-A8512C915342}" name="Diferença" totalsRowFunction="custom" dataDxfId="1229" totalsRowDxfId="1228">
      <calculatedColumnFormula>Pessoaleducacao100[[#This Row],[Orçado]]-Pessoaleducacao100[[#This Row],[Real]]</calculatedColumnFormula>
      <totalsRowFormula>SUM(Pessoaleducacao100[Diferença])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85AA698-F4C3-49CE-BD3F-95F99EB60247}" name="Lazer101" displayName="Lazer101" ref="F17:I25" totalsRowCount="1" headerRowDxfId="1227" dataDxfId="1225" totalsRowDxfId="1223" headerRowBorderDxfId="1226" tableBorderDxfId="1224" totalsRowBorderDxfId="1222">
  <tableColumns count="4">
    <tableColumn id="1" xr3:uid="{EA98F438-CAD8-4D17-900F-DDEF44B49699}" name="0" totalsRowLabel="Subtotal" dataDxfId="1221" totalsRowDxfId="1220"/>
    <tableColumn id="2" xr3:uid="{58334F84-9E3E-4353-B378-C44DFCE97D02}" name="Orçado" totalsRowFunction="custom" dataDxfId="1219" totalsRowDxfId="1218">
      <totalsRowFormula>SUM(Lazer101[Orçado])</totalsRowFormula>
    </tableColumn>
    <tableColumn id="3" xr3:uid="{DE8D21DA-F3E0-4404-AA5A-5576D7604A3C}" name="Real" totalsRowFunction="custom" dataDxfId="1217" totalsRowDxfId="1216">
      <totalsRowFormula>SUM(Lazer101[Real])</totalsRowFormula>
    </tableColumn>
    <tableColumn id="4" xr3:uid="{20869FA5-B80D-4CC6-931A-3A876941A3DF}" name="Diferença" totalsRowFunction="custom" dataDxfId="1215" totalsRowDxfId="1214">
      <calculatedColumnFormula>Lazer101[[#This Row],[Orçado]]-Lazer101[[#This Row],[Real]]</calculatedColumnFormula>
      <totalsRowFormula>SUM(Lazer101[Diferença])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321CCB54-17B7-467A-AF72-DD467FCFA3B7}" name="Moradia102" displayName="Moradia102" ref="A17:D25" totalsRowCount="1" headerRowDxfId="1213" dataDxfId="1211" totalsRowDxfId="1209" headerRowBorderDxfId="1212" tableBorderDxfId="1210" totalsRowBorderDxfId="1208">
  <tableColumns count="4">
    <tableColumn id="1" xr3:uid="{E4F00319-0189-4BF3-A2B7-143664E9AF3C}" name="[" totalsRowLabel="Subtotal" dataDxfId="1207" totalsRowDxfId="1206"/>
    <tableColumn id="2" xr3:uid="{CA112D10-0F00-4D44-BC69-B148F36E8651}" name="Orçado" totalsRowFunction="custom" dataDxfId="1205" totalsRowDxfId="1204">
      <totalsRowFormula>SUM(Moradia102[Orçado])</totalsRowFormula>
    </tableColumn>
    <tableColumn id="3" xr3:uid="{24882C34-30C4-4055-807C-3E5CBB66C08F}" name="Real" totalsRowFunction="custom" dataDxfId="1203" totalsRowDxfId="1202">
      <totalsRowFormula>SUM(Moradia102[Real])</totalsRowFormula>
    </tableColumn>
    <tableColumn id="4" xr3:uid="{60D8D2EF-3534-4472-8A48-C9074BF0E967}" name="Diferença" totalsRowFunction="custom" dataDxfId="1201" totalsRowDxfId="1200">
      <calculatedColumnFormula>Moradia102[[#This Row],[Orçado]]-Moradia102[[#This Row],[Real]]</calculatedColumnFormula>
      <totalsRowFormula>SUM(Moradia102[Diferença])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9D1EB951-C6AF-4F89-88D7-C5736ECC043C}" name="Outros103" displayName="Outros103" ref="F50:I58" totalsRowCount="1" headerRowDxfId="1199" dataDxfId="1197" totalsRowDxfId="1196" headerRowBorderDxfId="1198" totalsRowBorderDxfId="1195">
  <tableColumns count="4">
    <tableColumn id="1" xr3:uid="{6FBA35FC-0C2E-4F4F-A869-2F4FA80D36A5}" name="0" totalsRowLabel="Subtotal" dataDxfId="1194" totalsRowDxfId="1193"/>
    <tableColumn id="2" xr3:uid="{E1CA26C2-24A7-4659-A657-6355BB4FEEF7}" name="Orçado" totalsRowFunction="custom" dataDxfId="1192" totalsRowDxfId="1191">
      <totalsRowFormula>SUM(Outros103[Orçado])</totalsRowFormula>
    </tableColumn>
    <tableColumn id="3" xr3:uid="{213B9C91-005C-476D-B792-54925E532128}" name="Real" totalsRowFunction="custom" dataDxfId="1190" totalsRowDxfId="1189">
      <totalsRowFormula>SUM(Outros103[Real])</totalsRowFormula>
    </tableColumn>
    <tableColumn id="4" xr3:uid="{8F55E9B3-371E-46F1-A616-1BC7DDF84A8B}" name="Diferença" totalsRowFunction="custom" dataDxfId="1188" totalsRowDxfId="1187">
      <calculatedColumnFormula>Outros103[[#This Row],[Orçado]]-Outros103[[#This Row],[Real]]</calculatedColumnFormula>
      <totalsRowFormula>SUM(Outros103[Diferença])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6728B82B-9FBF-44C7-995A-22D7F458667B}" name="Investimentos104" displayName="Investimentos104" ref="A50:D58" totalsRowCount="1" headerRowDxfId="1186" dataDxfId="1184" totalsRowDxfId="1183" headerRowBorderDxfId="1185" totalsRowBorderDxfId="1182">
  <tableColumns count="4">
    <tableColumn id="1" xr3:uid="{027F73E9-F0E4-4896-9496-0679A66E2A69}" name="0" totalsRowLabel="Subtotal" dataDxfId="1181" totalsRowDxfId="1180"/>
    <tableColumn id="2" xr3:uid="{A6D15333-3A0F-4CEB-BF1D-04F93CDAFCB2}" name="Orçado" totalsRowFunction="custom" dataDxfId="1179" totalsRowDxfId="1178">
      <totalsRowFormula>SUM(Investimentos104[Orçado])</totalsRowFormula>
    </tableColumn>
    <tableColumn id="3" xr3:uid="{503428A2-8818-430D-AA50-2566030A3BDB}" name="Real" totalsRowFunction="custom" dataDxfId="1177" totalsRowDxfId="1176">
      <totalsRowFormula>SUM(Investimentos104[Real])</totalsRowFormula>
    </tableColumn>
    <tableColumn id="4" xr3:uid="{3997D3AD-D576-43CC-862F-79EA57B61F77}" name="Diferença" totalsRowFunction="custom" dataDxfId="1175" totalsRowDxfId="1174">
      <calculatedColumnFormula>Investimentos104[[#This Row],[Orçado]]-Investimentos104[[#This Row],[Real]]</calculatedColumnFormula>
      <totalsRowFormula>SUM(Investimentos104[Diferença])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967FEF8A-0513-42E8-9D66-569A0E5FC4D1}" name="Transporte105" displayName="Transporte105" ref="F39:I47" totalsRowCount="1" headerRowDxfId="1173" dataDxfId="1171" totalsRowDxfId="1169" headerRowBorderDxfId="1172" tableBorderDxfId="1170" totalsRowBorderDxfId="1168">
  <tableColumns count="4">
    <tableColumn id="1" xr3:uid="{F385803B-99E4-48A2-8EA6-FE80D2A11853}" name="0" totalsRowLabel="Subtotal" dataDxfId="1167" totalsRowDxfId="1166"/>
    <tableColumn id="2" xr3:uid="{84CEA075-907A-4B5A-86C0-9DA3C13EBE2B}" name="Orçado" totalsRowFunction="custom" dataDxfId="1165" totalsRowDxfId="1164">
      <totalsRowFormula>SUM(Transporte105[Orçado])</totalsRowFormula>
    </tableColumn>
    <tableColumn id="3" xr3:uid="{B3F811F5-923F-475C-8FD8-590CE1774C82}" name="Real" totalsRowFunction="custom" dataDxfId="1163" totalsRowDxfId="1162">
      <totalsRowFormula>SUM(Transporte105[Real])</totalsRowFormula>
    </tableColumn>
    <tableColumn id="4" xr3:uid="{DB47A271-9EA5-4C8C-B625-42FF06F0E512}" name="Diferença" totalsRowFunction="custom" dataDxfId="1161" totalsRowDxfId="1160">
      <calculatedColumnFormula>Transporte105[[#This Row],[Orçado]]-Transporte105[[#This Row],[Real]]</calculatedColumnFormula>
      <totalsRowFormula>SUM(Transporte105[Diferença])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51C7B0A9-9074-4B79-8F1D-0F1F2C73E82F}" name="Alimentação98106" displayName="Alimentação98106" ref="F28:I36" totalsRowCount="1" headerRowDxfId="1153" dataDxfId="1151" totalsRowDxfId="1149" headerRowBorderDxfId="1152" tableBorderDxfId="1150" totalsRowBorderDxfId="1148">
  <tableColumns count="4">
    <tableColumn id="1" xr3:uid="{B0547CE7-BC50-4EF9-A2E7-790249313648}" name="0" totalsRowLabel="Subtotal" dataDxfId="1147" totalsRowDxfId="1146"/>
    <tableColumn id="2" xr3:uid="{F4029CF0-2A81-4215-918C-6824E1B6004F}" name="Orçado" totalsRowFunction="custom" dataDxfId="1145" totalsRowDxfId="1144">
      <totalsRowFormula>SUM(Alimentação98106[Orçado])</totalsRowFormula>
    </tableColumn>
    <tableColumn id="3" xr3:uid="{74EAEBF3-B69E-433E-A6C5-B16A1DADA454}" name="Real" totalsRowFunction="custom" dataDxfId="1143" totalsRowDxfId="1142">
      <totalsRowFormula>SUM(Alimentação98106[Real])</totalsRowFormula>
    </tableColumn>
    <tableColumn id="4" xr3:uid="{F6A03151-D18A-4341-8DEE-F3B016F6CF4A}" name="Diferença" totalsRowFunction="custom" dataDxfId="1141" totalsRowDxfId="1140">
      <calculatedColumnFormula>Alimentação98106[[#This Row],[Orçado]]-Alimentação98106[[#This Row],[Real]]</calculatedColumnFormula>
      <totalsRowFormula>SUM(Alimentação98106[Diferença])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B0008412-2E18-4C08-9AF0-99B2FCB8764A}" name="Saúde99107" displayName="Saúde99107" ref="A28:D36" totalsRowCount="1" headerRowDxfId="1139" dataDxfId="1137" totalsRowDxfId="1135" headerRowBorderDxfId="1138" tableBorderDxfId="1136" totalsRowBorderDxfId="1134">
  <tableColumns count="4">
    <tableColumn id="1" xr3:uid="{9FB1E1E1-B422-4BE2-B4F7-BE8B9D81F9C0}" name="0" totalsRowLabel="Subtotal" dataDxfId="1133" totalsRowDxfId="1132"/>
    <tableColumn id="2" xr3:uid="{AF1E9252-1BA6-46F0-99F6-5D7FB50EF820}" name="Orçado" totalsRowFunction="custom" dataDxfId="1131" totalsRowDxfId="1130">
      <totalsRowFormula>SUM(Saúde99107[Orçado])</totalsRowFormula>
    </tableColumn>
    <tableColumn id="3" xr3:uid="{8B3D0C80-8BE2-44D1-AEE3-B9FAF94EA5FE}" name="Real" totalsRowFunction="custom" dataDxfId="1129" totalsRowDxfId="1128">
      <totalsRowFormula>SUM(Saúde99107[Real])</totalsRowFormula>
    </tableColumn>
    <tableColumn id="4" xr3:uid="{26EBB557-5866-4DC6-A9C9-5BB831356EC7}" name="Diferença" totalsRowFunction="custom" dataDxfId="1127" totalsRowDxfId="1126">
      <calculatedColumnFormula>Saúde99107[[#This Row],[Orçado]]-Saúde99107[[#This Row],[Real]]</calculatedColumnFormula>
      <totalsRowFormula>SUM(Saúde99107[Diferença])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659CCD5-2A78-4329-A576-8A123FA9534B}" name="Pessoaleducacao100108" displayName="Pessoaleducacao100108" ref="A39:D47" totalsRowCount="1" headerRowDxfId="1125" dataDxfId="1123" totalsRowDxfId="1121" headerRowBorderDxfId="1124" tableBorderDxfId="1122" totalsRowBorderDxfId="1120">
  <tableColumns count="4">
    <tableColumn id="1" xr3:uid="{09840571-C770-4C36-AF76-F32335924063}" name="0" totalsRowLabel="Subtotal" dataDxfId="1119" totalsRowDxfId="1118"/>
    <tableColumn id="2" xr3:uid="{49B4380D-EFBD-496F-9CD7-DE82A6E15361}" name="Orçado" totalsRowFunction="custom" dataDxfId="1117" totalsRowDxfId="1116">
      <totalsRowFormula>SUM(Pessoaleducacao100108[Orçado])</totalsRowFormula>
    </tableColumn>
    <tableColumn id="3" xr3:uid="{4C7A8276-2CB0-46F0-BB9D-E91E08B21086}" name="Real" totalsRowFunction="custom" dataDxfId="1115" totalsRowDxfId="1114">
      <totalsRowFormula>SUM(Pessoaleducacao100108[Real])</totalsRowFormula>
    </tableColumn>
    <tableColumn id="4" xr3:uid="{933CC197-2947-4F39-B263-02F36798CD48}" name="Diferença" totalsRowFunction="custom" dataDxfId="1113" totalsRowDxfId="1112">
      <calculatedColumnFormula>Pessoaleducacao100108[[#This Row],[Orçado]]-Pessoaleducacao100108[[#This Row],[Real]]</calculatedColumnFormula>
      <totalsRowFormula>SUM(Pessoaleducacao100108[Diferença])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Saúde" displayName="Saúde" ref="A28:D36" totalsRowCount="1" headerRowDxfId="1371" dataDxfId="1369" totalsRowDxfId="1367" headerRowBorderDxfId="1370" tableBorderDxfId="1368" totalsRowBorderDxfId="1366">
  <autoFilter ref="A28:D35" xr:uid="{00000000-0009-0000-0100-000004000000}">
    <filterColumn colId="0" hiddenButton="1"/>
    <filterColumn colId="1" hiddenButton="1"/>
    <filterColumn colId="2" hiddenButton="1"/>
    <filterColumn colId="3" hiddenButton="1"/>
  </autoFilter>
  <tableColumns count="4">
    <tableColumn id="1" xr3:uid="{00000000-0010-0000-0300-000001000000}" name="0" totalsRowLabel="Subtotal" dataDxfId="1365" totalsRowDxfId="1364"/>
    <tableColumn id="2" xr3:uid="{00000000-0010-0000-0300-000002000000}" name="Orçado" totalsRowFunction="custom" dataDxfId="1363" totalsRowDxfId="1362">
      <totalsRowFormula>SUM(Saúde[Orçado])</totalsRowFormula>
    </tableColumn>
    <tableColumn id="3" xr3:uid="{00000000-0010-0000-0300-000003000000}" name="Real" totalsRowFunction="custom" dataDxfId="1361" totalsRowDxfId="1360">
      <totalsRowFormula>SUM(Saúde[Real])</totalsRowFormula>
    </tableColumn>
    <tableColumn id="4" xr3:uid="{00000000-0010-0000-0300-000004000000}" name="Diferença" totalsRowFunction="custom" dataDxfId="1359" totalsRowDxfId="1358">
      <calculatedColumnFormula>Saúde[[#This Row],[Orçado]]-Saúde[[#This Row],[Real]]</calculatedColumnFormula>
      <totalsRowFormula>SUM(Saúde[Diferença])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4887BC30-DF56-4929-8C84-B35FBA5C7880}" name="Lazer101109" displayName="Lazer101109" ref="F17:I25" totalsRowCount="1" headerRowDxfId="1111" dataDxfId="1109" totalsRowDxfId="1107" headerRowBorderDxfId="1110" tableBorderDxfId="1108" totalsRowBorderDxfId="1106">
  <tableColumns count="4">
    <tableColumn id="1" xr3:uid="{52846BBE-B732-4132-8BE6-73AFB0BD202D}" name="0" totalsRowLabel="Subtotal" dataDxfId="1105" totalsRowDxfId="1104"/>
    <tableColumn id="2" xr3:uid="{C48F9AA7-9890-424E-9332-EA4A4A49D621}" name="Orçado" totalsRowFunction="custom" dataDxfId="1103" totalsRowDxfId="1102">
      <totalsRowFormula>SUM(Lazer101109[Orçado])</totalsRowFormula>
    </tableColumn>
    <tableColumn id="3" xr3:uid="{A961629F-C7AA-4EF7-9B89-EC2A92207E61}" name="Real" totalsRowFunction="custom" dataDxfId="1101" totalsRowDxfId="1100">
      <totalsRowFormula>SUM(Lazer101109[Real])</totalsRowFormula>
    </tableColumn>
    <tableColumn id="4" xr3:uid="{AA0E44A6-8AC4-45CD-8F4F-31C37EB723A9}" name="Diferença" totalsRowFunction="custom" dataDxfId="1099" totalsRowDxfId="1098">
      <calculatedColumnFormula>Lazer101109[[#This Row],[Orçado]]-Lazer101109[[#This Row],[Real]]</calculatedColumnFormula>
      <totalsRowFormula>SUM(Lazer101109[Diferença])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F1982694-5AFE-4EFD-83B1-A8910F38D364}" name="Moradia102110" displayName="Moradia102110" ref="A17:D25" totalsRowCount="1" headerRowDxfId="1097" dataDxfId="1095" totalsRowDxfId="1093" headerRowBorderDxfId="1096" tableBorderDxfId="1094" totalsRowBorderDxfId="1092">
  <tableColumns count="4">
    <tableColumn id="1" xr3:uid="{03EEC43E-FAAA-4267-94EC-EB5DA8E67A97}" name="[" totalsRowLabel="Subtotal" dataDxfId="1091" totalsRowDxfId="1090"/>
    <tableColumn id="2" xr3:uid="{CD974C49-3E8B-49F6-B5F3-5AEA003E6288}" name="Orçado" totalsRowFunction="custom" dataDxfId="1089" totalsRowDxfId="1088">
      <totalsRowFormula>SUM(Moradia102110[Orçado])</totalsRowFormula>
    </tableColumn>
    <tableColumn id="3" xr3:uid="{18522B4C-0D44-44ED-BD6E-E0099309F48C}" name="Real" totalsRowFunction="custom" dataDxfId="1087" totalsRowDxfId="1086">
      <totalsRowFormula>SUM(Moradia102110[Real])</totalsRowFormula>
    </tableColumn>
    <tableColumn id="4" xr3:uid="{52A597D6-6F59-4488-8EC7-571D7C072C68}" name="Diferença" totalsRowFunction="custom" dataDxfId="1085" totalsRowDxfId="1084">
      <calculatedColumnFormula>Moradia102110[[#This Row],[Orçado]]-Moradia102110[[#This Row],[Real]]</calculatedColumnFormula>
      <totalsRowFormula>SUM(Moradia102110[Diferença])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A11571A3-EF55-4FE2-B5DC-89A217FD407D}" name="Outros103111" displayName="Outros103111" ref="F50:I58" totalsRowCount="1" headerRowDxfId="1083" dataDxfId="1081" totalsRowDxfId="1080" headerRowBorderDxfId="1082" totalsRowBorderDxfId="1079">
  <tableColumns count="4">
    <tableColumn id="1" xr3:uid="{5752F848-A8DE-409C-A1E0-25281BD6B9C2}" name="0" totalsRowLabel="Subtotal" dataDxfId="1078" totalsRowDxfId="1077"/>
    <tableColumn id="2" xr3:uid="{6EFD4BD6-06AA-491E-8A38-E415F66628E6}" name="Orçado" totalsRowFunction="custom" dataDxfId="1076" totalsRowDxfId="1075">
      <totalsRowFormula>SUM(Outros103111[Orçado])</totalsRowFormula>
    </tableColumn>
    <tableColumn id="3" xr3:uid="{DA07224A-6B92-4DF5-A1B5-98B7340DC468}" name="Real" totalsRowFunction="custom" dataDxfId="1074" totalsRowDxfId="1073">
      <totalsRowFormula>SUM(Outros103111[Real])</totalsRowFormula>
    </tableColumn>
    <tableColumn id="4" xr3:uid="{C8195048-2E06-4DD9-9805-E30888EF774E}" name="Diferença" totalsRowFunction="custom" dataDxfId="1072" totalsRowDxfId="1071">
      <calculatedColumnFormula>Outros103111[[#This Row],[Orçado]]-Outros103111[[#This Row],[Real]]</calculatedColumnFormula>
      <totalsRowFormula>SUM(Outros103111[Diferença])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BBC91501-F6D0-48E9-A14B-C365624EBAFB}" name="Investimentos104112" displayName="Investimentos104112" ref="A50:D58" totalsRowCount="1" headerRowDxfId="1070" dataDxfId="1068" totalsRowDxfId="1067" headerRowBorderDxfId="1069" totalsRowBorderDxfId="1066">
  <tableColumns count="4">
    <tableColumn id="1" xr3:uid="{95CED267-3986-4DDC-AEBE-8AB82CEA872F}" name="0" totalsRowLabel="Subtotal" dataDxfId="1065" totalsRowDxfId="1064"/>
    <tableColumn id="2" xr3:uid="{7E846A25-3993-4E64-B209-DB451F470886}" name="Orçado" totalsRowFunction="custom" dataDxfId="1063" totalsRowDxfId="1062">
      <totalsRowFormula>SUM(Investimentos104112[Orçado])</totalsRowFormula>
    </tableColumn>
    <tableColumn id="3" xr3:uid="{043D8AA2-AA55-47D6-9EBF-E63A73CE769A}" name="Real" totalsRowFunction="custom" dataDxfId="1061" totalsRowDxfId="1060">
      <totalsRowFormula>SUM(Investimentos104112[Real])</totalsRowFormula>
    </tableColumn>
    <tableColumn id="4" xr3:uid="{67A35B74-87FC-4DA2-9555-D1BCF830F293}" name="Diferença" totalsRowFunction="custom" dataDxfId="1059" totalsRowDxfId="1058">
      <calculatedColumnFormula>Investimentos104112[[#This Row],[Orçado]]-Investimentos104112[[#This Row],[Real]]</calculatedColumnFormula>
      <totalsRowFormula>SUM(Investimentos104112[Diferença])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30610F59-59A3-43FF-9DD7-72C533AAB484}" name="Transporte105113" displayName="Transporte105113" ref="F39:I47" totalsRowCount="1" headerRowDxfId="1057" dataDxfId="1055" totalsRowDxfId="1053" headerRowBorderDxfId="1056" tableBorderDxfId="1054" totalsRowBorderDxfId="1052">
  <tableColumns count="4">
    <tableColumn id="1" xr3:uid="{24E75867-6F0D-4F33-B99D-11F0934A2BD0}" name="0" totalsRowLabel="Subtotal" dataDxfId="1051" totalsRowDxfId="1050"/>
    <tableColumn id="2" xr3:uid="{C63C5E87-CBFB-490A-AB90-037E22DA092E}" name="Orçado" totalsRowFunction="custom" dataDxfId="1049" totalsRowDxfId="1048">
      <totalsRowFormula>SUM(Transporte105113[Orçado])</totalsRowFormula>
    </tableColumn>
    <tableColumn id="3" xr3:uid="{D4F466BB-8680-47B3-9FAA-82791E3C08F6}" name="Real" totalsRowFunction="custom" dataDxfId="1047" totalsRowDxfId="1046">
      <totalsRowFormula>SUM(Transporte105113[Real])</totalsRowFormula>
    </tableColumn>
    <tableColumn id="4" xr3:uid="{C9A9008A-FF3A-4EC3-B64C-8516A1B0B984}" name="Diferença" totalsRowFunction="custom" dataDxfId="1045" totalsRowDxfId="1044">
      <calculatedColumnFormula>Transporte105113[[#This Row],[Orçado]]-Transporte105113[[#This Row],[Real]]</calculatedColumnFormula>
      <totalsRowFormula>SUM(Transporte105113[Diferença])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E59FC257-2555-4F73-A2D5-9FF9F39D0B1C}" name="Alimentação98114" displayName="Alimentação98114" ref="F28:I36" totalsRowCount="1" headerRowDxfId="1037" dataDxfId="1035" totalsRowDxfId="1033" headerRowBorderDxfId="1036" tableBorderDxfId="1034" totalsRowBorderDxfId="1032">
  <tableColumns count="4">
    <tableColumn id="1" xr3:uid="{AACC1676-7555-41FE-A438-87C00A8A6022}" name="0" totalsRowLabel="Subtotal" dataDxfId="1031" totalsRowDxfId="1030"/>
    <tableColumn id="2" xr3:uid="{15E2AD70-9160-4C8B-879B-78667BB8DBD7}" name="Orçado" totalsRowFunction="custom" dataDxfId="1029" totalsRowDxfId="1028">
      <totalsRowFormula>SUM(Alimentação98114[Orçado])</totalsRowFormula>
    </tableColumn>
    <tableColumn id="3" xr3:uid="{53EE947D-3585-4169-A691-E2220DB015A7}" name="Real" totalsRowFunction="custom" dataDxfId="1027" totalsRowDxfId="1026">
      <totalsRowFormula>SUM(Alimentação98114[Real])</totalsRowFormula>
    </tableColumn>
    <tableColumn id="4" xr3:uid="{04594F30-99A4-4DC1-B96A-013756B02CB7}" name="Diferença" totalsRowFunction="custom" dataDxfId="1025" totalsRowDxfId="1024">
      <calculatedColumnFormula>Alimentação98114[[#This Row],[Orçado]]-Alimentação98114[[#This Row],[Real]]</calculatedColumnFormula>
      <totalsRowFormula>SUM(Alimentação98114[Diferença])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F7FAC0BE-274C-487D-BCD9-415B2983AEB5}" name="Saúde99115" displayName="Saúde99115" ref="A28:D36" totalsRowCount="1" headerRowDxfId="1023" dataDxfId="1021" totalsRowDxfId="1019" headerRowBorderDxfId="1022" tableBorderDxfId="1020" totalsRowBorderDxfId="1018">
  <tableColumns count="4">
    <tableColumn id="1" xr3:uid="{9BCFDCED-9F54-47B4-8BA9-7D7C175C193C}" name="0" totalsRowLabel="Subtotal" dataDxfId="1017" totalsRowDxfId="1016"/>
    <tableColumn id="2" xr3:uid="{A3BAB07B-5BB3-43F4-B613-66A624C3DB59}" name="Orçado" totalsRowFunction="custom" dataDxfId="1015" totalsRowDxfId="1014">
      <totalsRowFormula>SUM(Saúde99115[Orçado])</totalsRowFormula>
    </tableColumn>
    <tableColumn id="3" xr3:uid="{EDF5D4D2-4186-4B80-92E6-7C2798EDA222}" name="Real" totalsRowFunction="custom" dataDxfId="1013" totalsRowDxfId="1012">
      <totalsRowFormula>SUM(Saúde99115[Real])</totalsRowFormula>
    </tableColumn>
    <tableColumn id="4" xr3:uid="{B66BE3F0-B6C8-4E12-963E-6EE68F9730DF}" name="Diferença" totalsRowFunction="custom" dataDxfId="1011" totalsRowDxfId="1010">
      <calculatedColumnFormula>Saúde99115[[#This Row],[Orçado]]-Saúde99115[[#This Row],[Real]]</calculatedColumnFormula>
      <totalsRowFormula>SUM(Saúde99115[Diferença])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E5D5153E-874D-41D7-BA09-0298E22BC50D}" name="Pessoaleducacao100116" displayName="Pessoaleducacao100116" ref="A39:D47" totalsRowCount="1" headerRowDxfId="1009" dataDxfId="1007" totalsRowDxfId="1005" headerRowBorderDxfId="1008" tableBorderDxfId="1006" totalsRowBorderDxfId="1004">
  <tableColumns count="4">
    <tableColumn id="1" xr3:uid="{DB2A5E50-D2E1-4F50-9501-5B18A3C770C2}" name="0" totalsRowLabel="Subtotal" dataDxfId="1003" totalsRowDxfId="1002"/>
    <tableColumn id="2" xr3:uid="{1F144BE0-056A-4F2C-B126-77ED5D9E8A34}" name="Orçado" totalsRowFunction="custom" dataDxfId="1001" totalsRowDxfId="1000">
      <totalsRowFormula>SUM(Pessoaleducacao100116[Orçado])</totalsRowFormula>
    </tableColumn>
    <tableColumn id="3" xr3:uid="{D92269E7-555F-4E0A-866C-113B0ADE4DDE}" name="Real" totalsRowFunction="custom" dataDxfId="999" totalsRowDxfId="998">
      <totalsRowFormula>SUM(Pessoaleducacao100116[Real])</totalsRowFormula>
    </tableColumn>
    <tableColumn id="4" xr3:uid="{4F8D84C1-F6F8-4A04-9F31-A907D756C90A}" name="Diferença" totalsRowFunction="custom" dataDxfId="997" totalsRowDxfId="996">
      <calculatedColumnFormula>Pessoaleducacao100116[[#This Row],[Orçado]]-Pessoaleducacao100116[[#This Row],[Real]]</calculatedColumnFormula>
      <totalsRowFormula>SUM(Pessoaleducacao100116[Diferença])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F63E5064-28E2-433D-9610-6E9674225F72}" name="Lazer101117" displayName="Lazer101117" ref="F17:I25" totalsRowCount="1" headerRowDxfId="995" dataDxfId="993" totalsRowDxfId="991" headerRowBorderDxfId="994" tableBorderDxfId="992" totalsRowBorderDxfId="990">
  <tableColumns count="4">
    <tableColumn id="1" xr3:uid="{B63ADB96-32FE-4566-AE6D-C0670D08D278}" name="0" totalsRowLabel="Subtotal" dataDxfId="989" totalsRowDxfId="988"/>
    <tableColumn id="2" xr3:uid="{132A8459-474E-4EA6-B774-99047DCE9D0D}" name="Orçado" totalsRowFunction="custom" dataDxfId="987" totalsRowDxfId="986">
      <totalsRowFormula>SUM(Lazer101117[Orçado])</totalsRowFormula>
    </tableColumn>
    <tableColumn id="3" xr3:uid="{324539A8-AFB2-4900-8DFF-392E6A28756E}" name="Real" totalsRowFunction="custom" dataDxfId="985" totalsRowDxfId="984">
      <totalsRowFormula>SUM(Lazer101117[Real])</totalsRowFormula>
    </tableColumn>
    <tableColumn id="4" xr3:uid="{1499E598-9AA3-403B-AECE-36D135E8FF2A}" name="Diferença" totalsRowFunction="custom" dataDxfId="983" totalsRowDxfId="982">
      <calculatedColumnFormula>Lazer101117[[#This Row],[Orçado]]-Lazer101117[[#This Row],[Real]]</calculatedColumnFormula>
      <totalsRowFormula>SUM(Lazer101117[Diferença])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6FEC56FA-6B08-43ED-B6FC-ACB60864568E}" name="Moradia102118" displayName="Moradia102118" ref="A17:D25" totalsRowCount="1" headerRowDxfId="981" dataDxfId="979" totalsRowDxfId="977" headerRowBorderDxfId="980" tableBorderDxfId="978" totalsRowBorderDxfId="976">
  <tableColumns count="4">
    <tableColumn id="1" xr3:uid="{3D6097B6-3453-4952-A59E-964427274CB1}" name="[" totalsRowLabel="Subtotal" dataDxfId="975" totalsRowDxfId="974"/>
    <tableColumn id="2" xr3:uid="{B7D0E22A-9E91-47A3-BC28-A5A7F531921A}" name="Orçado" totalsRowFunction="custom" dataDxfId="973" totalsRowDxfId="972">
      <totalsRowFormula>SUM(Moradia102118[Orçado])</totalsRowFormula>
    </tableColumn>
    <tableColumn id="3" xr3:uid="{4A23D7A4-A684-4E5E-B4CB-0C7847D1B0C7}" name="Real" totalsRowFunction="custom" dataDxfId="971" totalsRowDxfId="970">
      <totalsRowFormula>SUM(Moradia102118[Real])</totalsRowFormula>
    </tableColumn>
    <tableColumn id="4" xr3:uid="{C9569099-B79D-43F7-A27B-A4F127F2506A}" name="Diferença" totalsRowFunction="custom" dataDxfId="969" totalsRowDxfId="968">
      <calculatedColumnFormula>Moradia102118[[#This Row],[Orçado]]-Moradia102118[[#This Row],[Real]]</calculatedColumnFormula>
      <totalsRowFormula>SUM(Moradia102118[Diferença])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Pessoaleducacao" displayName="Pessoaleducacao" ref="A39:D47" totalsRowCount="1" headerRowDxfId="1357" dataDxfId="1355" totalsRowDxfId="1353" headerRowBorderDxfId="1356" tableBorderDxfId="1354" totalsRowBorderDxfId="1352">
  <autoFilter ref="A39:D46" xr:uid="{00000000-0009-0000-0100-000005000000}">
    <filterColumn colId="0" hiddenButton="1"/>
    <filterColumn colId="1" hiddenButton="1"/>
    <filterColumn colId="2" hiddenButton="1"/>
    <filterColumn colId="3" hiddenButton="1"/>
  </autoFilter>
  <tableColumns count="4">
    <tableColumn id="1" xr3:uid="{00000000-0010-0000-0400-000001000000}" name="0" totalsRowLabel="Subtotal" dataDxfId="1351" totalsRowDxfId="1350"/>
    <tableColumn id="2" xr3:uid="{00000000-0010-0000-0400-000002000000}" name="Orçado" totalsRowFunction="custom" dataDxfId="1349" totalsRowDxfId="1348">
      <totalsRowFormula>SUM(Pessoaleducacao[Orçado])</totalsRowFormula>
    </tableColumn>
    <tableColumn id="3" xr3:uid="{00000000-0010-0000-0400-000003000000}" name="Real" totalsRowFunction="custom" dataDxfId="1347" totalsRowDxfId="1346">
      <totalsRowFormula>SUM(Pessoaleducacao[Real])</totalsRowFormula>
    </tableColumn>
    <tableColumn id="4" xr3:uid="{00000000-0010-0000-0400-000004000000}" name="Diferença" totalsRowFunction="custom" dataDxfId="1345" totalsRowDxfId="1344">
      <calculatedColumnFormula>Pessoaleducacao[[#This Row],[Orçado]]-Pessoaleducacao[[#This Row],[Real]]</calculatedColumnFormula>
      <totalsRowFormula>SUM(Pessoaleducacao[Diferença])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C529B7A5-90BA-42C3-8557-D18F43F3B998}" name="Outros103119" displayName="Outros103119" ref="F50:I58" totalsRowCount="1" headerRowDxfId="967" dataDxfId="965" totalsRowDxfId="964" headerRowBorderDxfId="966" totalsRowBorderDxfId="963">
  <tableColumns count="4">
    <tableColumn id="1" xr3:uid="{B8333610-6549-4CFE-BDEC-1D4AA4CA8100}" name="0" totalsRowLabel="Subtotal" dataDxfId="962" totalsRowDxfId="961"/>
    <tableColumn id="2" xr3:uid="{E1A22AD3-BA5C-4755-A829-928EE2C26E57}" name="Orçado" totalsRowFunction="custom" dataDxfId="960" totalsRowDxfId="959">
      <totalsRowFormula>SUM(Outros103119[Orçado])</totalsRowFormula>
    </tableColumn>
    <tableColumn id="3" xr3:uid="{B2E39537-9E0F-4B64-8D2B-AF2CD2020058}" name="Real" totalsRowFunction="custom" dataDxfId="958" totalsRowDxfId="957">
      <totalsRowFormula>SUM(Outros103119[Real])</totalsRowFormula>
    </tableColumn>
    <tableColumn id="4" xr3:uid="{959BDBD3-467D-49BA-8841-797D2DE9D414}" name="Diferença" totalsRowFunction="custom" dataDxfId="956" totalsRowDxfId="955">
      <calculatedColumnFormula>Outros103119[[#This Row],[Orçado]]-Outros103119[[#This Row],[Real]]</calculatedColumnFormula>
      <totalsRowFormula>SUM(Outros103119[Diferença])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EDBD52C7-9389-415E-BFB9-4C4C66BAD47A}" name="Investimentos104120" displayName="Investimentos104120" ref="A50:D58" totalsRowCount="1" headerRowDxfId="954" dataDxfId="952" totalsRowDxfId="951" headerRowBorderDxfId="953" totalsRowBorderDxfId="950">
  <tableColumns count="4">
    <tableColumn id="1" xr3:uid="{613D2474-83EA-4989-A80C-945F4BF1FBB4}" name="0" totalsRowLabel="Subtotal" dataDxfId="949" totalsRowDxfId="948"/>
    <tableColumn id="2" xr3:uid="{81CD1754-D797-487E-9FBC-FDC4D00BCA3A}" name="Orçado" totalsRowFunction="custom" dataDxfId="947" totalsRowDxfId="946">
      <totalsRowFormula>SUM(Investimentos104120[Orçado])</totalsRowFormula>
    </tableColumn>
    <tableColumn id="3" xr3:uid="{4631A2A3-5D4D-4343-B4D9-5C5EDA64B09E}" name="Real" totalsRowFunction="custom" dataDxfId="945" totalsRowDxfId="944">
      <totalsRowFormula>SUM(Investimentos104120[Real])</totalsRowFormula>
    </tableColumn>
    <tableColumn id="4" xr3:uid="{F86176CB-41E1-4A6B-B4A8-436B657AB7CA}" name="Diferença" totalsRowFunction="custom" dataDxfId="943" totalsRowDxfId="942">
      <calculatedColumnFormula>Investimentos104120[[#This Row],[Orçado]]-Investimentos104120[[#This Row],[Real]]</calculatedColumnFormula>
      <totalsRowFormula>SUM(Investimentos104120[Diferença])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70E857C6-38A9-49B3-B4E2-DF4BC396A734}" name="Transporte105121" displayName="Transporte105121" ref="F39:I47" totalsRowCount="1" headerRowDxfId="941" dataDxfId="939" totalsRowDxfId="937" headerRowBorderDxfId="940" tableBorderDxfId="938" totalsRowBorderDxfId="936">
  <tableColumns count="4">
    <tableColumn id="1" xr3:uid="{9841E66B-9EE5-4385-95D7-753DC8A2C7FB}" name="0" totalsRowLabel="Subtotal" dataDxfId="935" totalsRowDxfId="934"/>
    <tableColumn id="2" xr3:uid="{724CBD8B-36D8-4877-8F98-F328842348D9}" name="Orçado" totalsRowFunction="custom" dataDxfId="933" totalsRowDxfId="932">
      <totalsRowFormula>SUM(Transporte105121[Orçado])</totalsRowFormula>
    </tableColumn>
    <tableColumn id="3" xr3:uid="{80212DE3-7885-4C49-BEF9-0184AE186FA4}" name="Real" totalsRowFunction="custom" dataDxfId="931" totalsRowDxfId="930">
      <totalsRowFormula>SUM(Transporte105121[Real])</totalsRowFormula>
    </tableColumn>
    <tableColumn id="4" xr3:uid="{EFD40240-A2D8-40D1-8564-3E58903121B7}" name="Diferença" totalsRowFunction="custom" dataDxfId="929" totalsRowDxfId="928">
      <calculatedColumnFormula>Transporte105121[[#This Row],[Orçado]]-Transporte105121[[#This Row],[Real]]</calculatedColumnFormula>
      <totalsRowFormula>SUM(Transporte105121[Diferença])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CCE28E92-9446-4FF4-BE91-49DDBFB34ABC}" name="Alimentação98122" displayName="Alimentação98122" ref="F28:I36" totalsRowCount="1" headerRowDxfId="921" dataDxfId="919" totalsRowDxfId="917" headerRowBorderDxfId="920" tableBorderDxfId="918" totalsRowBorderDxfId="916">
  <tableColumns count="4">
    <tableColumn id="1" xr3:uid="{58C924E5-E3E1-4DC9-BA29-A95A3FF6BF42}" name="0" totalsRowLabel="Subtotal" dataDxfId="915" totalsRowDxfId="914"/>
    <tableColumn id="2" xr3:uid="{97C96F22-E023-4A2F-B0EA-62DA25F37753}" name="Orçado" totalsRowFunction="custom" dataDxfId="913" totalsRowDxfId="912">
      <totalsRowFormula>SUM(Alimentação98122[Orçado])</totalsRowFormula>
    </tableColumn>
    <tableColumn id="3" xr3:uid="{098FF4DB-88D5-458A-B544-FFC15BE07F9F}" name="Real" totalsRowFunction="custom" dataDxfId="911" totalsRowDxfId="910">
      <totalsRowFormula>SUM(Alimentação98122[Real])</totalsRowFormula>
    </tableColumn>
    <tableColumn id="4" xr3:uid="{BA6AEC6F-BCDE-4941-877D-45DC253E82B0}" name="Diferença" totalsRowFunction="custom" dataDxfId="909" totalsRowDxfId="908">
      <calculatedColumnFormula>Alimentação98122[[#This Row],[Orçado]]-Alimentação98122[[#This Row],[Real]]</calculatedColumnFormula>
      <totalsRowFormula>SUM(Alimentação98122[Diferença])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E80AC29D-0CD4-453E-92CF-E5A85B2B6F8D}" name="Saúde99123" displayName="Saúde99123" ref="A28:D36" totalsRowCount="1" headerRowDxfId="907" dataDxfId="905" totalsRowDxfId="903" headerRowBorderDxfId="906" tableBorderDxfId="904" totalsRowBorderDxfId="902">
  <tableColumns count="4">
    <tableColumn id="1" xr3:uid="{C6351471-7D2C-4595-AD31-E4B2D4BDE352}" name="0" totalsRowLabel="Subtotal" dataDxfId="901" totalsRowDxfId="900"/>
    <tableColumn id="2" xr3:uid="{89B04289-36ED-46EC-9042-3D4D9E4AF4D7}" name="Orçado" totalsRowFunction="custom" dataDxfId="899" totalsRowDxfId="898">
      <totalsRowFormula>SUM(Saúde99123[Orçado])</totalsRowFormula>
    </tableColumn>
    <tableColumn id="3" xr3:uid="{0FD41391-5518-4C29-A0F2-6E4B63039329}" name="Real" totalsRowFunction="custom" dataDxfId="897" totalsRowDxfId="896">
      <totalsRowFormula>SUM(Saúde99123[Real])</totalsRowFormula>
    </tableColumn>
    <tableColumn id="4" xr3:uid="{8EB875F3-D60E-4565-9DD4-B1F7813EE7E8}" name="Diferença" totalsRowFunction="custom" dataDxfId="895" totalsRowDxfId="894">
      <calculatedColumnFormula>Saúde99123[[#This Row],[Orçado]]-Saúde99123[[#This Row],[Real]]</calculatedColumnFormula>
      <totalsRowFormula>SUM(Saúde99123[Diferença])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A8E1D0F8-BA6C-4139-A19F-8FE09606ADAA}" name="Pessoaleducacao100124" displayName="Pessoaleducacao100124" ref="A39:D47" totalsRowCount="1" headerRowDxfId="893" dataDxfId="891" totalsRowDxfId="889" headerRowBorderDxfId="892" tableBorderDxfId="890" totalsRowBorderDxfId="888">
  <tableColumns count="4">
    <tableColumn id="1" xr3:uid="{4FA8B5D3-EAAD-403C-B0FE-3C08834680A4}" name="0" totalsRowLabel="Subtotal" dataDxfId="887" totalsRowDxfId="886"/>
    <tableColumn id="2" xr3:uid="{3EF05C21-A7BA-4613-B7CF-25F22C47565B}" name="Orçado" totalsRowFunction="custom" dataDxfId="885" totalsRowDxfId="884">
      <totalsRowFormula>SUM(Pessoaleducacao100124[Orçado])</totalsRowFormula>
    </tableColumn>
    <tableColumn id="3" xr3:uid="{976D9CD3-B4DE-4951-A65C-5FF922A84598}" name="Real" totalsRowFunction="custom" dataDxfId="883" totalsRowDxfId="882">
      <totalsRowFormula>SUM(Pessoaleducacao100124[Real])</totalsRowFormula>
    </tableColumn>
    <tableColumn id="4" xr3:uid="{CA671938-FF7C-4206-997C-B02C2386732B}" name="Diferença" totalsRowFunction="custom" dataDxfId="881" totalsRowDxfId="880">
      <calculatedColumnFormula>Pessoaleducacao100124[[#This Row],[Orçado]]-Pessoaleducacao100124[[#This Row],[Real]]</calculatedColumnFormula>
      <totalsRowFormula>SUM(Pessoaleducacao100124[Diferença])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1635AEC4-F041-4FDA-A5AC-63791439FA91}" name="Lazer101125" displayName="Lazer101125" ref="F17:I25" totalsRowCount="1" headerRowDxfId="879" dataDxfId="877" totalsRowDxfId="875" headerRowBorderDxfId="878" tableBorderDxfId="876" totalsRowBorderDxfId="874">
  <tableColumns count="4">
    <tableColumn id="1" xr3:uid="{89E9C7D1-E681-4882-9723-59C04B86A87F}" name="0" totalsRowLabel="Subtotal" dataDxfId="873" totalsRowDxfId="872"/>
    <tableColumn id="2" xr3:uid="{F1D8E8CE-C872-48B2-A4D6-D370342C1B3C}" name="Orçado" totalsRowFunction="custom" dataDxfId="871" totalsRowDxfId="870">
      <totalsRowFormula>SUM(Lazer101125[Orçado])</totalsRowFormula>
    </tableColumn>
    <tableColumn id="3" xr3:uid="{2D531D1A-AF9C-4707-A44C-80E9A6D1E23E}" name="Real" totalsRowFunction="custom" dataDxfId="869" totalsRowDxfId="868">
      <totalsRowFormula>SUM(Lazer101125[Real])</totalsRowFormula>
    </tableColumn>
    <tableColumn id="4" xr3:uid="{EC12E097-AFD5-4C46-AEDE-DFEFCABB8886}" name="Diferença" totalsRowFunction="custom" dataDxfId="867" totalsRowDxfId="866">
      <calculatedColumnFormula>Lazer101125[[#This Row],[Orçado]]-Lazer101125[[#This Row],[Real]]</calculatedColumnFormula>
      <totalsRowFormula>SUM(Lazer101125[Diferença])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D07E89F0-0E46-461B-9D0A-A1E634797BA5}" name="Moradia102126" displayName="Moradia102126" ref="A17:D25" totalsRowCount="1" headerRowDxfId="865" dataDxfId="863" totalsRowDxfId="861" headerRowBorderDxfId="864" tableBorderDxfId="862" totalsRowBorderDxfId="860">
  <tableColumns count="4">
    <tableColumn id="1" xr3:uid="{932F949D-3B9E-4FC2-B7A9-046BD6538FD0}" name="[" totalsRowLabel="Subtotal" dataDxfId="859" totalsRowDxfId="858"/>
    <tableColumn id="2" xr3:uid="{7166E320-9B42-4296-B269-63DC6FC98218}" name="Orçado" totalsRowFunction="custom" dataDxfId="857" totalsRowDxfId="856">
      <totalsRowFormula>SUM(Moradia102126[Orçado])</totalsRowFormula>
    </tableColumn>
    <tableColumn id="3" xr3:uid="{BD6EF29D-832E-4483-AA0C-077F35FCC5B9}" name="Real" totalsRowFunction="custom" dataDxfId="855" totalsRowDxfId="854">
      <totalsRowFormula>SUM(Moradia102126[Real])</totalsRowFormula>
    </tableColumn>
    <tableColumn id="4" xr3:uid="{AA6EB964-99FB-4308-842C-84790642DAF5}" name="Diferença" totalsRowFunction="custom" dataDxfId="853" totalsRowDxfId="852">
      <calculatedColumnFormula>Moradia102126[[#This Row],[Orçado]]-Moradia102126[[#This Row],[Real]]</calculatedColumnFormula>
      <totalsRowFormula>SUM(Moradia102126[Diferença])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94198C45-1CAF-46D7-93C1-8982FC0DCE91}" name="Outros103127" displayName="Outros103127" ref="F50:I58" totalsRowCount="1" headerRowDxfId="851" dataDxfId="849" totalsRowDxfId="848" headerRowBorderDxfId="850" totalsRowBorderDxfId="847">
  <tableColumns count="4">
    <tableColumn id="1" xr3:uid="{89A04588-6F4E-40B7-875E-804B19F9B737}" name="0" totalsRowLabel="Subtotal" dataDxfId="846" totalsRowDxfId="845"/>
    <tableColumn id="2" xr3:uid="{31962143-8627-4B2E-BB01-EF033CBA82EE}" name="Orçado" totalsRowFunction="custom" dataDxfId="844" totalsRowDxfId="843">
      <totalsRowFormula>SUM(Outros103127[Orçado])</totalsRowFormula>
    </tableColumn>
    <tableColumn id="3" xr3:uid="{54CAC67E-E6B8-49A6-8246-412998523B65}" name="Real" totalsRowFunction="custom" dataDxfId="842" totalsRowDxfId="841">
      <totalsRowFormula>SUM(Outros103127[Real])</totalsRowFormula>
    </tableColumn>
    <tableColumn id="4" xr3:uid="{17B4841A-46D9-475A-8D50-09CFA4C44204}" name="Diferença" totalsRowFunction="custom" dataDxfId="840" totalsRowDxfId="839">
      <calculatedColumnFormula>Outros103127[[#This Row],[Orçado]]-Outros103127[[#This Row],[Real]]</calculatedColumnFormula>
      <totalsRowFormula>SUM(Outros103127[Diferença])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77092C7B-0A99-49F0-8BCC-C06385F0A848}" name="Investimentos104128" displayName="Investimentos104128" ref="A50:D58" totalsRowCount="1" headerRowDxfId="838" dataDxfId="836" totalsRowDxfId="835" headerRowBorderDxfId="837" totalsRowBorderDxfId="834">
  <tableColumns count="4">
    <tableColumn id="1" xr3:uid="{8DF29C46-B57E-4F75-AD84-1E7A54D1352D}" name="0" totalsRowLabel="Subtotal" dataDxfId="833" totalsRowDxfId="832"/>
    <tableColumn id="2" xr3:uid="{275EC529-6877-4EC7-B901-FCD9B6C2F19E}" name="Orçado" totalsRowFunction="custom" dataDxfId="831" totalsRowDxfId="830">
      <totalsRowFormula>SUM(Investimentos104128[Orçado])</totalsRowFormula>
    </tableColumn>
    <tableColumn id="3" xr3:uid="{DF79D19B-7E48-4943-9284-A5DA02DB2BE9}" name="Real" totalsRowFunction="custom" dataDxfId="829" totalsRowDxfId="828">
      <totalsRowFormula>SUM(Investimentos104128[Real])</totalsRowFormula>
    </tableColumn>
    <tableColumn id="4" xr3:uid="{ED5F0E81-640A-4B80-965D-43B9B607FF9F}" name="Diferença" totalsRowFunction="custom" dataDxfId="827" totalsRowDxfId="826">
      <calculatedColumnFormula>Investimentos104128[[#This Row],[Orçado]]-Investimentos104128[[#This Row],[Real]]</calculatedColumnFormula>
      <totalsRowFormula>SUM(Investimentos104128[Diferença])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6137842-32BE-449D-B4DD-080DB9569042}" name="Lazer" displayName="Lazer" ref="F17:I25" totalsRowCount="1" headerRowDxfId="1343" dataDxfId="1341" totalsRowDxfId="1339" headerRowBorderDxfId="1342" tableBorderDxfId="1340" totalsRowBorderDxfId="1338">
  <tableColumns count="4">
    <tableColumn id="1" xr3:uid="{37489EC8-810B-42A0-8AA8-29FA9182DD08}" name="0" totalsRowLabel="Subtotal" dataDxfId="1337" totalsRowDxfId="1336"/>
    <tableColumn id="2" xr3:uid="{DB4F7375-71E9-4B03-8D86-B38CA65BF0A7}" name="Orçado" totalsRowFunction="custom" dataDxfId="1335" totalsRowDxfId="1334">
      <totalsRowFormula>SUM(Lazer[Orçado])</totalsRowFormula>
    </tableColumn>
    <tableColumn id="3" xr3:uid="{2F5D51BE-0CEE-4969-9AD9-A89A5A03D8B5}" name="Real" totalsRowFunction="custom" dataDxfId="1333" totalsRowDxfId="1332">
      <totalsRowFormula>SUM(Lazer[Real])</totalsRowFormula>
    </tableColumn>
    <tableColumn id="4" xr3:uid="{DB88D091-90F5-434A-819A-B47C615EA704}" name="Diferença" totalsRowFunction="custom" dataDxfId="1331" totalsRowDxfId="1330">
      <calculatedColumnFormula>Lazer[[#This Row],[Orçado]]-Lazer[[#This Row],[Real]]</calculatedColumnFormula>
      <totalsRowFormula>SUM(Lazer[Diferença])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34117F63-DB9F-49F1-B1DC-CDE208435D82}" name="Transporte105129" displayName="Transporte105129" ref="F39:I47" totalsRowCount="1" headerRowDxfId="825" dataDxfId="823" totalsRowDxfId="821" headerRowBorderDxfId="824" tableBorderDxfId="822" totalsRowBorderDxfId="820">
  <tableColumns count="4">
    <tableColumn id="1" xr3:uid="{66FBB60A-4EC0-4F57-8A8E-242823582637}" name="0" totalsRowLabel="Subtotal" dataDxfId="819" totalsRowDxfId="818"/>
    <tableColumn id="2" xr3:uid="{65449807-C83A-410B-8C39-FB952D6F7D01}" name="Orçado" totalsRowFunction="custom" dataDxfId="817" totalsRowDxfId="816">
      <totalsRowFormula>SUM(Transporte105129[Orçado])</totalsRowFormula>
    </tableColumn>
    <tableColumn id="3" xr3:uid="{49A1E63A-57B6-47AD-8B7E-F61F17C67228}" name="Real" totalsRowFunction="custom" dataDxfId="815" totalsRowDxfId="814">
      <totalsRowFormula>SUM(Transporte105129[Real])</totalsRowFormula>
    </tableColumn>
    <tableColumn id="4" xr3:uid="{3DD5A3EC-2CD6-4D68-A7D2-A79986FAED47}" name="Diferença" totalsRowFunction="custom" dataDxfId="813" totalsRowDxfId="812">
      <calculatedColumnFormula>Transporte105129[[#This Row],[Orçado]]-Transporte105129[[#This Row],[Real]]</calculatedColumnFormula>
      <totalsRowFormula>SUM(Transporte105129[Diferença])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243A6A6F-5190-4BE3-8B11-34C0D38143AA}" name="Alimentação98130" displayName="Alimentação98130" ref="F28:I36" totalsRowCount="1" headerRowDxfId="805" dataDxfId="803" totalsRowDxfId="801" headerRowBorderDxfId="804" tableBorderDxfId="802" totalsRowBorderDxfId="800">
  <tableColumns count="4">
    <tableColumn id="1" xr3:uid="{8A8DF7E5-34C9-4DAE-94F6-7E17B17F4DC2}" name="0" totalsRowLabel="Subtotal" dataDxfId="799" totalsRowDxfId="798"/>
    <tableColumn id="2" xr3:uid="{3EDD698B-13B0-4A99-BC23-60BDFFCF9846}" name="Orçado" totalsRowFunction="custom" dataDxfId="797" totalsRowDxfId="796">
      <totalsRowFormula>SUM(Alimentação98130[Orçado])</totalsRowFormula>
    </tableColumn>
    <tableColumn id="3" xr3:uid="{CB1A8589-B5FC-462C-895A-C99841F49123}" name="Real" totalsRowFunction="custom" dataDxfId="795" totalsRowDxfId="794">
      <totalsRowFormula>SUM(Alimentação98130[Real])</totalsRowFormula>
    </tableColumn>
    <tableColumn id="4" xr3:uid="{9A2D6A0B-8030-4609-A4C7-D98DF48A37BE}" name="Diferença" totalsRowFunction="custom" dataDxfId="793" totalsRowDxfId="792">
      <calculatedColumnFormula>Alimentação98130[[#This Row],[Orçado]]-Alimentação98130[[#This Row],[Real]]</calculatedColumnFormula>
      <totalsRowFormula>SUM(Alimentação98130[Diferença])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F884461E-05CD-48E2-8B7A-D58E2414A69A}" name="Saúde99131" displayName="Saúde99131" ref="A28:D36" totalsRowCount="1" headerRowDxfId="791" dataDxfId="789" totalsRowDxfId="787" headerRowBorderDxfId="790" tableBorderDxfId="788" totalsRowBorderDxfId="786">
  <tableColumns count="4">
    <tableColumn id="1" xr3:uid="{A9FE45A5-C806-4C3A-B42A-5675C61F1C0C}" name="0" totalsRowLabel="Subtotal" dataDxfId="785" totalsRowDxfId="784"/>
    <tableColumn id="2" xr3:uid="{CB9B3BA0-6174-4B34-B9B0-5A9E3E163FEF}" name="Orçado" totalsRowFunction="custom" dataDxfId="783" totalsRowDxfId="782">
      <totalsRowFormula>SUM(Saúde99131[Orçado])</totalsRowFormula>
    </tableColumn>
    <tableColumn id="3" xr3:uid="{B9E0173D-EBEB-491F-BEB4-3CCEFB97FB41}" name="Real" totalsRowFunction="custom" dataDxfId="781" totalsRowDxfId="780">
      <totalsRowFormula>SUM(Saúde99131[Real])</totalsRowFormula>
    </tableColumn>
    <tableColumn id="4" xr3:uid="{DC225C44-9E65-4C4E-905F-8A5A1015CEDC}" name="Diferença" totalsRowFunction="custom" dataDxfId="779" totalsRowDxfId="778">
      <calculatedColumnFormula>Saúde99131[[#This Row],[Orçado]]-Saúde99131[[#This Row],[Real]]</calculatedColumnFormula>
      <totalsRowFormula>SUM(Saúde99131[Diferença])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91719347-2A2A-4713-BD64-4A6906CB5ADB}" name="Pessoaleducacao100132" displayName="Pessoaleducacao100132" ref="A39:D47" totalsRowCount="1" headerRowDxfId="777" dataDxfId="775" totalsRowDxfId="773" headerRowBorderDxfId="776" tableBorderDxfId="774" totalsRowBorderDxfId="772">
  <tableColumns count="4">
    <tableColumn id="1" xr3:uid="{9A50B657-3BB4-45C5-886A-0B29B12FBDE5}" name="0" totalsRowLabel="Subtotal" dataDxfId="771" totalsRowDxfId="770"/>
    <tableColumn id="2" xr3:uid="{915AD72D-54D3-4676-B94A-5CC640A71FB9}" name="Orçado" totalsRowFunction="custom" dataDxfId="769" totalsRowDxfId="768">
      <totalsRowFormula>SUM(Pessoaleducacao100132[Orçado])</totalsRowFormula>
    </tableColumn>
    <tableColumn id="3" xr3:uid="{BB96EDDC-5C03-4CA0-A19A-CCAD54E2E2AD}" name="Real" totalsRowFunction="custom" dataDxfId="767" totalsRowDxfId="766">
      <totalsRowFormula>SUM(Pessoaleducacao100132[Real])</totalsRowFormula>
    </tableColumn>
    <tableColumn id="4" xr3:uid="{F5AB4629-B92C-4713-BD30-71C017C6C647}" name="Diferença" totalsRowFunction="custom" dataDxfId="765" totalsRowDxfId="764">
      <calculatedColumnFormula>Pessoaleducacao100132[[#This Row],[Orçado]]-Pessoaleducacao100132[[#This Row],[Real]]</calculatedColumnFormula>
      <totalsRowFormula>SUM(Pessoaleducacao100132[Diferença])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6A89D20B-DC53-4585-B516-371DECFF285F}" name="Lazer101133" displayName="Lazer101133" ref="F17:I25" totalsRowCount="1" headerRowDxfId="763" dataDxfId="761" totalsRowDxfId="759" headerRowBorderDxfId="762" tableBorderDxfId="760" totalsRowBorderDxfId="758">
  <tableColumns count="4">
    <tableColumn id="1" xr3:uid="{417E579E-43E0-47FA-BCF2-9F3875E6AB2B}" name="0" totalsRowLabel="Subtotal" dataDxfId="757" totalsRowDxfId="756"/>
    <tableColumn id="2" xr3:uid="{51FCCB58-D4AA-4383-8FFF-C57F7C4F3355}" name="Orçado" totalsRowFunction="custom" dataDxfId="755" totalsRowDxfId="754">
      <totalsRowFormula>SUM(Lazer101133[Orçado])</totalsRowFormula>
    </tableColumn>
    <tableColumn id="3" xr3:uid="{094AE09F-5E61-4980-BC92-CAB78336100C}" name="Real" totalsRowFunction="custom" dataDxfId="753" totalsRowDxfId="752">
      <totalsRowFormula>SUM(Lazer101133[Real])</totalsRowFormula>
    </tableColumn>
    <tableColumn id="4" xr3:uid="{7503D03F-0DBC-42F9-80BF-DF3688903879}" name="Diferença" totalsRowFunction="custom" dataDxfId="751" totalsRowDxfId="750">
      <calculatedColumnFormula>Lazer101133[[#This Row],[Orçado]]-Lazer101133[[#This Row],[Real]]</calculatedColumnFormula>
      <totalsRowFormula>SUM(Lazer101133[Diferença])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3474965-FBE0-4F26-9756-0D3D5AB6FACF}" name="Moradia102134" displayName="Moradia102134" ref="A17:D25" totalsRowCount="1" headerRowDxfId="749" dataDxfId="747" totalsRowDxfId="745" headerRowBorderDxfId="748" tableBorderDxfId="746" totalsRowBorderDxfId="744">
  <tableColumns count="4">
    <tableColumn id="1" xr3:uid="{90E27DBD-6F60-4BE2-BB8F-B11CCFBC6DE7}" name="[" totalsRowLabel="Subtotal" dataDxfId="743" totalsRowDxfId="742"/>
    <tableColumn id="2" xr3:uid="{90D5871B-BC04-4324-AF6F-45E2A76F2A96}" name="Orçado" totalsRowFunction="custom" dataDxfId="741" totalsRowDxfId="740">
      <totalsRowFormula>SUM(Moradia102134[Orçado])</totalsRowFormula>
    </tableColumn>
    <tableColumn id="3" xr3:uid="{C39A224D-677D-4139-A6A3-C2F3A7FD0D40}" name="Real" totalsRowFunction="custom" dataDxfId="739" totalsRowDxfId="738">
      <totalsRowFormula>SUM(Moradia102134[Real])</totalsRowFormula>
    </tableColumn>
    <tableColumn id="4" xr3:uid="{46FDFD18-01FF-49C8-8DA3-8103D56FAD3A}" name="Diferença" totalsRowFunction="custom" dataDxfId="737" totalsRowDxfId="736">
      <calculatedColumnFormula>Moradia102134[[#This Row],[Orçado]]-Moradia102134[[#This Row],[Real]]</calculatedColumnFormula>
      <totalsRowFormula>SUM(Moradia102134[Diferença])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22B8167E-9029-4EE1-9CF2-BFC744C06494}" name="Outros103135" displayName="Outros103135" ref="F50:I58" totalsRowCount="1" headerRowDxfId="735" dataDxfId="733" totalsRowDxfId="732" headerRowBorderDxfId="734" totalsRowBorderDxfId="731">
  <tableColumns count="4">
    <tableColumn id="1" xr3:uid="{46197DF4-1696-4525-9190-22B177C46FB8}" name="0" totalsRowLabel="Subtotal" dataDxfId="730" totalsRowDxfId="729"/>
    <tableColumn id="2" xr3:uid="{7C4F412C-88DE-4528-8FA0-3001C4B5FE9D}" name="Orçado" totalsRowFunction="custom" dataDxfId="728" totalsRowDxfId="727">
      <totalsRowFormula>SUM(Outros103135[Orçado])</totalsRowFormula>
    </tableColumn>
    <tableColumn id="3" xr3:uid="{C2E621B7-1959-44C9-BF4C-AEF4FAF9E43A}" name="Real" totalsRowFunction="custom" dataDxfId="726" totalsRowDxfId="725">
      <totalsRowFormula>SUM(Outros103135[Real])</totalsRowFormula>
    </tableColumn>
    <tableColumn id="4" xr3:uid="{9AC5012C-D1B1-4549-B41A-7CCC6D21E123}" name="Diferença" totalsRowFunction="custom" dataDxfId="724" totalsRowDxfId="723">
      <calculatedColumnFormula>Outros103135[[#This Row],[Orçado]]-Outros103135[[#This Row],[Real]]</calculatedColumnFormula>
      <totalsRowFormula>SUM(Outros103135[Diferença])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52B471BB-6DD9-444C-844C-6C98582B859B}" name="Investimentos104136" displayName="Investimentos104136" ref="A50:D58" totalsRowCount="1" headerRowDxfId="722" dataDxfId="720" totalsRowDxfId="719" headerRowBorderDxfId="721" totalsRowBorderDxfId="718">
  <tableColumns count="4">
    <tableColumn id="1" xr3:uid="{60297309-E14F-4C0A-906A-568A3BEBA96B}" name="0" totalsRowLabel="Subtotal" dataDxfId="717" totalsRowDxfId="716"/>
    <tableColumn id="2" xr3:uid="{FC874967-CF56-4B8E-90F9-C493F5F9AE11}" name="Orçado" totalsRowFunction="custom" dataDxfId="715" totalsRowDxfId="714">
      <totalsRowFormula>SUM(Investimentos104136[Orçado])</totalsRowFormula>
    </tableColumn>
    <tableColumn id="3" xr3:uid="{91C85DF4-8A32-4AD4-B2A1-79F153367224}" name="Real" totalsRowFunction="custom" dataDxfId="713" totalsRowDxfId="712">
      <totalsRowFormula>SUM(Investimentos104136[Real])</totalsRowFormula>
    </tableColumn>
    <tableColumn id="4" xr3:uid="{1BD78787-AF6B-4609-B8B0-8316ED387558}" name="Diferença" totalsRowFunction="custom" dataDxfId="711" totalsRowDxfId="710">
      <calculatedColumnFormula>Investimentos104136[[#This Row],[Orçado]]-Investimentos104136[[#This Row],[Real]]</calculatedColumnFormula>
      <totalsRowFormula>SUM(Investimentos104136[Diferença])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B3A24E7-306B-455F-9552-80CE2F854F3A}" name="Transporte105137" displayName="Transporte105137" ref="F39:I47" totalsRowCount="1" headerRowDxfId="709" dataDxfId="707" totalsRowDxfId="705" headerRowBorderDxfId="708" tableBorderDxfId="706" totalsRowBorderDxfId="704">
  <tableColumns count="4">
    <tableColumn id="1" xr3:uid="{AD71E71E-C4F2-473D-AAFA-87F07DFECFC6}" name="0" totalsRowLabel="Subtotal" dataDxfId="703" totalsRowDxfId="702"/>
    <tableColumn id="2" xr3:uid="{2A3E4D98-C48C-4229-A558-5E37425BF9A5}" name="Orçado" totalsRowFunction="custom" dataDxfId="701" totalsRowDxfId="700">
      <totalsRowFormula>SUM(Transporte105137[Orçado])</totalsRowFormula>
    </tableColumn>
    <tableColumn id="3" xr3:uid="{EB321144-63B6-416F-AAF1-C0E9069A9499}" name="Real" totalsRowFunction="custom" dataDxfId="699" totalsRowDxfId="698">
      <totalsRowFormula>SUM(Transporte105137[Real])</totalsRowFormula>
    </tableColumn>
    <tableColumn id="4" xr3:uid="{29CBA396-91D9-4DDD-AC19-62BCD7C21438}" name="Diferença" totalsRowFunction="custom" dataDxfId="697" totalsRowDxfId="696">
      <calculatedColumnFormula>Transporte105137[[#This Row],[Orçado]]-Transporte105137[[#This Row],[Real]]</calculatedColumnFormula>
      <totalsRowFormula>SUM(Transporte105137[Diferença])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B0258A9E-A73A-474D-B18B-1607E8A27647}" name="Alimentação98138" displayName="Alimentação98138" ref="F28:I36" totalsRowCount="1" headerRowDxfId="689" dataDxfId="687" totalsRowDxfId="685" headerRowBorderDxfId="688" tableBorderDxfId="686" totalsRowBorderDxfId="684">
  <tableColumns count="4">
    <tableColumn id="1" xr3:uid="{3C4950CD-7D15-4109-9038-EC1ADEF2E7D7}" name="0" totalsRowLabel="Subtotal" dataDxfId="683" totalsRowDxfId="682"/>
    <tableColumn id="2" xr3:uid="{E25B85BA-9898-4C35-B5ED-E7C128A20572}" name="Orçado" totalsRowFunction="custom" dataDxfId="681" totalsRowDxfId="680">
      <totalsRowFormula>SUM(Alimentação98138[Orçado])</totalsRowFormula>
    </tableColumn>
    <tableColumn id="3" xr3:uid="{0B8B3046-75AA-422A-B4C8-08489B6E3C5C}" name="Real" totalsRowFunction="custom" dataDxfId="679" totalsRowDxfId="678">
      <totalsRowFormula>SUM(Alimentação98138[Real])</totalsRowFormula>
    </tableColumn>
    <tableColumn id="4" xr3:uid="{A9BC4BFB-0369-4FDB-90CA-8F5F3B494C2D}" name="Diferença" totalsRowFunction="custom" dataDxfId="677" totalsRowDxfId="676">
      <calculatedColumnFormula>Alimentação98138[[#This Row],[Orçado]]-Alimentação98138[[#This Row],[Real]]</calculatedColumnFormula>
      <totalsRowFormula>SUM(Alimentação98138[Diferença])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74E22F1-1F1E-40CC-A409-B7FEA4B18A47}" name="Moradia" displayName="Moradia" ref="A17:D25" totalsRowCount="1" headerRowDxfId="1329" dataDxfId="1327" totalsRowDxfId="1325" headerRowBorderDxfId="1328" tableBorderDxfId="1326" totalsRowBorderDxfId="1324">
  <tableColumns count="4">
    <tableColumn id="1" xr3:uid="{BC4242F5-A3BC-4AD6-B129-DF1886BE0F19}" name="[" totalsRowLabel="Subtotal" dataDxfId="1323" totalsRowDxfId="1322"/>
    <tableColumn id="2" xr3:uid="{A11D8B9E-950E-4D54-A7A6-1E5081E51ABB}" name="Orçado" totalsRowFunction="custom" dataDxfId="1321" totalsRowDxfId="1320">
      <totalsRowFormula>SUM(Moradia[Orçado])</totalsRowFormula>
    </tableColumn>
    <tableColumn id="3" xr3:uid="{CC08D4AC-E9FA-4DA2-98E9-EC86116CBFF5}" name="Real" totalsRowFunction="custom" dataDxfId="1319" totalsRowDxfId="1318">
      <totalsRowFormula>SUM(Moradia[Real])</totalsRowFormula>
    </tableColumn>
    <tableColumn id="4" xr3:uid="{1CFCFA15-3DC2-4304-9D6D-603F917D80EB}" name="Diferença" totalsRowFunction="custom" dataDxfId="1317" totalsRowDxfId="1316">
      <calculatedColumnFormula>Moradia[[#This Row],[Orçado]]-Moradia[[#This Row],[Real]]</calculatedColumnFormula>
      <totalsRowFormula>SUM(Moradia[Diferença])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DA7F9F3C-B6AB-4ECB-A8D9-D673E8F774E0}" name="Saúde99139" displayName="Saúde99139" ref="A28:D36" totalsRowCount="1" headerRowDxfId="675" dataDxfId="673" totalsRowDxfId="671" headerRowBorderDxfId="674" tableBorderDxfId="672" totalsRowBorderDxfId="670">
  <tableColumns count="4">
    <tableColumn id="1" xr3:uid="{54D98D1C-4002-4592-AE93-0E60FB633B31}" name="0" totalsRowLabel="Subtotal" dataDxfId="669" totalsRowDxfId="668"/>
    <tableColumn id="2" xr3:uid="{661A64E5-6E49-489F-8BE4-C2157F5FCB31}" name="Orçado" totalsRowFunction="custom" dataDxfId="667" totalsRowDxfId="666">
      <totalsRowFormula>SUM(Saúde99139[Orçado])</totalsRowFormula>
    </tableColumn>
    <tableColumn id="3" xr3:uid="{F396BB14-AED5-47D2-A0AB-98D1ACAA3595}" name="Real" totalsRowFunction="custom" dataDxfId="665" totalsRowDxfId="664">
      <totalsRowFormula>SUM(Saúde99139[Real])</totalsRowFormula>
    </tableColumn>
    <tableColumn id="4" xr3:uid="{DF71F957-8451-421F-92CF-FF5E4635F2C1}" name="Diferença" totalsRowFunction="custom" dataDxfId="663" totalsRowDxfId="662">
      <calculatedColumnFormula>Saúde99139[[#This Row],[Orçado]]-Saúde99139[[#This Row],[Real]]</calculatedColumnFormula>
      <totalsRowFormula>SUM(Saúde99139[Diferença])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2402D124-57D1-444D-8DD7-507C327F3D28}" name="Pessoaleducacao100140" displayName="Pessoaleducacao100140" ref="A39:D47" totalsRowCount="1" headerRowDxfId="661" dataDxfId="659" totalsRowDxfId="657" headerRowBorderDxfId="660" tableBorderDxfId="658" totalsRowBorderDxfId="656">
  <tableColumns count="4">
    <tableColumn id="1" xr3:uid="{32BFE678-A65A-4222-B0EF-A43256BB0A90}" name="0" totalsRowLabel="Subtotal" dataDxfId="655" totalsRowDxfId="654"/>
    <tableColumn id="2" xr3:uid="{E1C02823-4EE0-4B29-919E-527B5B5FDD7F}" name="Orçado" totalsRowFunction="custom" dataDxfId="653" totalsRowDxfId="652">
      <totalsRowFormula>SUM(Pessoaleducacao100140[Orçado])</totalsRowFormula>
    </tableColumn>
    <tableColumn id="3" xr3:uid="{E36D9CDC-A421-452C-B6BC-0F040D19422F}" name="Real" totalsRowFunction="custom" dataDxfId="651" totalsRowDxfId="650">
      <totalsRowFormula>SUM(Pessoaleducacao100140[Real])</totalsRowFormula>
    </tableColumn>
    <tableColumn id="4" xr3:uid="{CD439D9E-7937-40AC-BEFA-68946C3B015F}" name="Diferença" totalsRowFunction="custom" dataDxfId="649" totalsRowDxfId="648">
      <calculatedColumnFormula>Pessoaleducacao100140[[#This Row],[Orçado]]-Pessoaleducacao100140[[#This Row],[Real]]</calculatedColumnFormula>
      <totalsRowFormula>SUM(Pessoaleducacao100140[Diferença])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A61A4E71-62EA-4CF0-96C8-E256069E57E6}" name="Lazer101141" displayName="Lazer101141" ref="F17:I25" totalsRowCount="1" headerRowDxfId="647" dataDxfId="645" totalsRowDxfId="643" headerRowBorderDxfId="646" tableBorderDxfId="644" totalsRowBorderDxfId="642">
  <tableColumns count="4">
    <tableColumn id="1" xr3:uid="{3BC113BC-1637-4C64-A211-928074D0C0EC}" name="0" totalsRowLabel="Subtotal" dataDxfId="641" totalsRowDxfId="640"/>
    <tableColumn id="2" xr3:uid="{635F7494-6D96-4A92-AC83-ABB3F488A201}" name="Orçado" totalsRowFunction="custom" dataDxfId="639" totalsRowDxfId="638">
      <totalsRowFormula>SUM(Lazer101141[Orçado])</totalsRowFormula>
    </tableColumn>
    <tableColumn id="3" xr3:uid="{240BF48B-9143-4273-8AF0-E87B394FD6F3}" name="Real" totalsRowFunction="custom" dataDxfId="637" totalsRowDxfId="636">
      <totalsRowFormula>SUM(Lazer101141[Real])</totalsRowFormula>
    </tableColumn>
    <tableColumn id="4" xr3:uid="{34666AD8-EE7B-44B5-BA5A-6E5BC0ECE006}" name="Diferença" totalsRowFunction="custom" dataDxfId="635" totalsRowDxfId="634">
      <calculatedColumnFormula>Lazer101141[[#This Row],[Orçado]]-Lazer101141[[#This Row],[Real]]</calculatedColumnFormula>
      <totalsRowFormula>SUM(Lazer101141[Diferença])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ABF22F05-F3B3-468D-B115-0ED91EDEDE1F}" name="Moradia102142" displayName="Moradia102142" ref="A17:D25" totalsRowCount="1" headerRowDxfId="633" dataDxfId="631" totalsRowDxfId="629" headerRowBorderDxfId="632" tableBorderDxfId="630" totalsRowBorderDxfId="628">
  <tableColumns count="4">
    <tableColumn id="1" xr3:uid="{1B73DDA2-92E3-4E9D-A9A3-3D31CF93F642}" name="[" totalsRowLabel="Subtotal" dataDxfId="627" totalsRowDxfId="626"/>
    <tableColumn id="2" xr3:uid="{52E8F630-07CF-4C75-A224-BE6A2B782C1E}" name="Orçado" totalsRowFunction="custom" dataDxfId="625" totalsRowDxfId="624">
      <totalsRowFormula>SUM(Moradia102142[Orçado])</totalsRowFormula>
    </tableColumn>
    <tableColumn id="3" xr3:uid="{9007BD76-6B65-4672-89AE-1DA28FC664A9}" name="Real" totalsRowFunction="custom" dataDxfId="623" totalsRowDxfId="622">
      <totalsRowFormula>SUM(Moradia102142[Real])</totalsRowFormula>
    </tableColumn>
    <tableColumn id="4" xr3:uid="{2A32BDCB-5FD4-4E6B-82EF-77B3977E1C70}" name="Diferença" totalsRowFunction="custom" dataDxfId="621" totalsRowDxfId="620">
      <calculatedColumnFormula>Moradia102142[[#This Row],[Orçado]]-Moradia102142[[#This Row],[Real]]</calculatedColumnFormula>
      <totalsRowFormula>SUM(Moradia102142[Diferença])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B8376398-8EA8-4194-8FED-DE437708E669}" name="Outros103143" displayName="Outros103143" ref="F50:I58" totalsRowCount="1" headerRowDxfId="619" dataDxfId="617" totalsRowDxfId="616" headerRowBorderDxfId="618" totalsRowBorderDxfId="615">
  <tableColumns count="4">
    <tableColumn id="1" xr3:uid="{1F9A2DE9-59EC-4337-8ABC-9A323F927C46}" name="0" totalsRowLabel="Subtotal" dataDxfId="614" totalsRowDxfId="613"/>
    <tableColumn id="2" xr3:uid="{C9073AA8-D508-4BF1-B5AB-BAAE1D829DE6}" name="Orçado" totalsRowFunction="custom" dataDxfId="612" totalsRowDxfId="611">
      <totalsRowFormula>SUM(Outros103143[Orçado])</totalsRowFormula>
    </tableColumn>
    <tableColumn id="3" xr3:uid="{5CAA24CD-5D78-4068-B56E-F98B9DC08EBD}" name="Real" totalsRowFunction="custom" dataDxfId="610" totalsRowDxfId="609">
      <totalsRowFormula>SUM(Outros103143[Real])</totalsRowFormula>
    </tableColumn>
    <tableColumn id="4" xr3:uid="{F4027BF4-7EF2-4361-BAB2-F2B211669439}" name="Diferença" totalsRowFunction="custom" dataDxfId="608" totalsRowDxfId="607">
      <calculatedColumnFormula>Outros103143[[#This Row],[Orçado]]-Outros103143[[#This Row],[Real]]</calculatedColumnFormula>
      <totalsRowFormula>SUM(Outros103143[Diferença])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36CB55B7-415F-4FFB-B424-69F0FBC59905}" name="Investimentos104144" displayName="Investimentos104144" ref="A50:D58" totalsRowCount="1" headerRowDxfId="606" dataDxfId="604" totalsRowDxfId="603" headerRowBorderDxfId="605" totalsRowBorderDxfId="602">
  <tableColumns count="4">
    <tableColumn id="1" xr3:uid="{1466BF86-5A90-4282-B6FB-DC10E6883B9A}" name="0" totalsRowLabel="Subtotal" dataDxfId="601" totalsRowDxfId="600"/>
    <tableColumn id="2" xr3:uid="{EED96401-954A-4F86-866A-C17658FB648A}" name="Orçado" totalsRowFunction="custom" dataDxfId="599" totalsRowDxfId="598">
      <totalsRowFormula>SUM(Investimentos104144[Orçado])</totalsRowFormula>
    </tableColumn>
    <tableColumn id="3" xr3:uid="{2C06DEA0-F0AF-44F9-B291-29CCFF726A64}" name="Real" totalsRowFunction="custom" dataDxfId="597" totalsRowDxfId="596">
      <totalsRowFormula>SUM(Investimentos104144[Real])</totalsRowFormula>
    </tableColumn>
    <tableColumn id="4" xr3:uid="{214A8CC9-9D77-4A9E-BCA4-419C04D08175}" name="Diferença" totalsRowFunction="custom" dataDxfId="595" totalsRowDxfId="594">
      <calculatedColumnFormula>Investimentos104144[[#This Row],[Orçado]]-Investimentos104144[[#This Row],[Real]]</calculatedColumnFormula>
      <totalsRowFormula>SUM(Investimentos104144[Diferença])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7FD0F030-E62E-46B4-8FA8-0205773EC160}" name="Transporte105145" displayName="Transporte105145" ref="F39:I47" totalsRowCount="1" headerRowDxfId="593" dataDxfId="591" totalsRowDxfId="589" headerRowBorderDxfId="592" tableBorderDxfId="590" totalsRowBorderDxfId="588">
  <tableColumns count="4">
    <tableColumn id="1" xr3:uid="{15F8096A-1568-46F2-98B9-F4EA2D393C2F}" name="0" totalsRowLabel="Subtotal" dataDxfId="587" totalsRowDxfId="586"/>
    <tableColumn id="2" xr3:uid="{9560D00E-0F44-4171-96A0-DE6AC581E940}" name="Orçado" totalsRowFunction="custom" dataDxfId="585" totalsRowDxfId="584">
      <totalsRowFormula>SUM(Transporte105145[Orçado])</totalsRowFormula>
    </tableColumn>
    <tableColumn id="3" xr3:uid="{EF7CD0C7-AAF7-4EE7-B762-6DDDB84D80E9}" name="Real" totalsRowFunction="custom" dataDxfId="583" totalsRowDxfId="582">
      <totalsRowFormula>SUM(Transporte105145[Real])</totalsRowFormula>
    </tableColumn>
    <tableColumn id="4" xr3:uid="{4118748A-8243-42FC-ACC4-036148FBC62B}" name="Diferença" totalsRowFunction="custom" dataDxfId="581" totalsRowDxfId="580">
      <calculatedColumnFormula>Transporte105145[[#This Row],[Orçado]]-Transporte105145[[#This Row],[Real]]</calculatedColumnFormula>
      <totalsRowFormula>SUM(Transporte105145[Diferença])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CDD82D13-0D4A-4410-B509-AB59961B048F}" name="Alimentação98146" displayName="Alimentação98146" ref="F28:I36" totalsRowCount="1" headerRowDxfId="573" dataDxfId="571" totalsRowDxfId="569" headerRowBorderDxfId="572" tableBorderDxfId="570" totalsRowBorderDxfId="568">
  <tableColumns count="4">
    <tableColumn id="1" xr3:uid="{C0141A85-D2F8-460D-B0F8-4BA2BA0A4807}" name="0" totalsRowLabel="Subtotal" dataDxfId="567" totalsRowDxfId="566"/>
    <tableColumn id="2" xr3:uid="{15EB7BD3-096B-443B-95CB-818566501B2F}" name="Orçado" totalsRowFunction="custom" dataDxfId="565" totalsRowDxfId="564">
      <totalsRowFormula>SUM(Alimentação98146[Orçado])</totalsRowFormula>
    </tableColumn>
    <tableColumn id="3" xr3:uid="{386D33A6-280C-459A-B265-C93DF1783D7E}" name="Real" totalsRowFunction="custom" dataDxfId="563" totalsRowDxfId="562">
      <totalsRowFormula>SUM(Alimentação98146[Real])</totalsRowFormula>
    </tableColumn>
    <tableColumn id="4" xr3:uid="{F1DEFB45-6F9A-436D-B51C-DB3AC6455ECB}" name="Diferença" totalsRowFunction="custom" dataDxfId="561" totalsRowDxfId="560">
      <calculatedColumnFormula>Alimentação98146[[#This Row],[Orçado]]-Alimentação98146[[#This Row],[Real]]</calculatedColumnFormula>
      <totalsRowFormula>SUM(Alimentação98146[Diferença])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4A7DD411-B571-4752-8862-AB7B08A2348A}" name="Saúde99147" displayName="Saúde99147" ref="A28:D36" totalsRowCount="1" headerRowDxfId="559" dataDxfId="557" totalsRowDxfId="555" headerRowBorderDxfId="558" tableBorderDxfId="556" totalsRowBorderDxfId="554">
  <tableColumns count="4">
    <tableColumn id="1" xr3:uid="{A540D7C7-16D8-421E-8B41-87869E44754F}" name="0" totalsRowLabel="Subtotal" dataDxfId="553" totalsRowDxfId="552"/>
    <tableColumn id="2" xr3:uid="{5BC8BB29-0C25-42AE-9658-E88E3DD279A8}" name="Orçado" totalsRowFunction="custom" dataDxfId="551" totalsRowDxfId="550">
      <totalsRowFormula>SUM(Saúde99147[Orçado])</totalsRowFormula>
    </tableColumn>
    <tableColumn id="3" xr3:uid="{276FA87D-476D-4C5B-8BED-48C5AE99B195}" name="Real" totalsRowFunction="custom" dataDxfId="549" totalsRowDxfId="548">
      <totalsRowFormula>SUM(Saúde99147[Real])</totalsRowFormula>
    </tableColumn>
    <tableColumn id="4" xr3:uid="{5BA3F934-734A-4E2F-B6D2-FFA9E25D6F69}" name="Diferença" totalsRowFunction="custom" dataDxfId="547" totalsRowDxfId="546">
      <calculatedColumnFormula>Saúde99147[[#This Row],[Orçado]]-Saúde99147[[#This Row],[Real]]</calculatedColumnFormula>
      <totalsRowFormula>SUM(Saúde99147[Diferença])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24D5CC34-AAE8-4B4F-A86E-53C445B08160}" name="Pessoaleducacao100148" displayName="Pessoaleducacao100148" ref="A39:D47" totalsRowCount="1" headerRowDxfId="545" dataDxfId="543" totalsRowDxfId="541" headerRowBorderDxfId="544" tableBorderDxfId="542" totalsRowBorderDxfId="540">
  <tableColumns count="4">
    <tableColumn id="1" xr3:uid="{78DAF5A9-D69F-4AB3-9072-06D802B357FB}" name="0" totalsRowLabel="Subtotal" dataDxfId="539" totalsRowDxfId="538"/>
    <tableColumn id="2" xr3:uid="{06509A24-7750-4CE4-AA87-D37093560F32}" name="Orçado" totalsRowFunction="custom" dataDxfId="537" totalsRowDxfId="536">
      <totalsRowFormula>SUM(Pessoaleducacao100148[Orçado])</totalsRowFormula>
    </tableColumn>
    <tableColumn id="3" xr3:uid="{14CB08E7-29F8-4FCF-B179-ED27D382914D}" name="Real" totalsRowFunction="custom" dataDxfId="535" totalsRowDxfId="534">
      <totalsRowFormula>SUM(Pessoaleducacao100148[Real])</totalsRowFormula>
    </tableColumn>
    <tableColumn id="4" xr3:uid="{B7B69FAB-015F-4552-941F-31ADBF17E486}" name="Diferença" totalsRowFunction="custom" dataDxfId="533" totalsRowDxfId="532">
      <calculatedColumnFormula>Pessoaleducacao100148[[#This Row],[Orçado]]-Pessoaleducacao100148[[#This Row],[Real]]</calculatedColumnFormula>
      <totalsRowFormula>SUM(Pessoaleducacao100148[Diferença])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C6F2F9B-5A45-4E3A-8DBC-19AA0C27CF0F}" name="Outros" displayName="Outros" ref="F50:I58" totalsRowCount="1" headerRowDxfId="1315" dataDxfId="1313" totalsRowDxfId="1312" headerRowBorderDxfId="1314" totalsRowBorderDxfId="1311">
  <tableColumns count="4">
    <tableColumn id="1" xr3:uid="{9DD9F983-DE28-41C1-843D-3D28DC1E77EC}" name="0" totalsRowLabel="Subtotal" dataDxfId="1310" totalsRowDxfId="1309"/>
    <tableColumn id="2" xr3:uid="{4353397E-D383-42EA-AE30-744CB09F456C}" name="Orçado" totalsRowFunction="custom" dataDxfId="1308" totalsRowDxfId="1307">
      <totalsRowFormula>SUM(Outros[Orçado])</totalsRowFormula>
    </tableColumn>
    <tableColumn id="3" xr3:uid="{4EFC0989-0219-4888-A6AD-049454640F48}" name="Real" totalsRowFunction="custom" dataDxfId="1306" totalsRowDxfId="1305">
      <totalsRowFormula>SUM(Outros[Real])</totalsRowFormula>
    </tableColumn>
    <tableColumn id="4" xr3:uid="{A3388B90-3D7F-4A0B-87E7-4C756047C099}" name="Diferença" totalsRowFunction="custom" dataDxfId="1304" totalsRowDxfId="1303">
      <calculatedColumnFormula>Outros[[#This Row],[Orçado]]-Outros[[#This Row],[Real]]</calculatedColumnFormula>
      <totalsRowFormula>SUM(Outros[Diferença])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5E4FA6A0-5A5C-4E85-B768-C473AFAC0265}" name="Lazer101149" displayName="Lazer101149" ref="F17:I25" totalsRowCount="1" headerRowDxfId="531" dataDxfId="529" totalsRowDxfId="527" headerRowBorderDxfId="530" tableBorderDxfId="528" totalsRowBorderDxfId="526">
  <tableColumns count="4">
    <tableColumn id="1" xr3:uid="{57FBB19E-2AB8-4D5F-9D35-91C31F8ED4AC}" name="0" totalsRowLabel="Subtotal" dataDxfId="525" totalsRowDxfId="524"/>
    <tableColumn id="2" xr3:uid="{CCF51101-3F87-498E-A58C-08D91F8FA4C5}" name="Orçado" totalsRowFunction="custom" dataDxfId="523" totalsRowDxfId="522">
      <totalsRowFormula>SUM(Lazer101149[Orçado])</totalsRowFormula>
    </tableColumn>
    <tableColumn id="3" xr3:uid="{B887EAE6-12F1-478E-B267-7CB8D070865C}" name="Real" totalsRowFunction="custom" dataDxfId="521" totalsRowDxfId="520">
      <totalsRowFormula>SUM(Lazer101149[Real])</totalsRowFormula>
    </tableColumn>
    <tableColumn id="4" xr3:uid="{A6505CF6-0886-4957-BCB0-0CD25BE60B24}" name="Diferença" totalsRowFunction="custom" dataDxfId="519" totalsRowDxfId="518">
      <calculatedColumnFormula>Lazer101149[[#This Row],[Orçado]]-Lazer101149[[#This Row],[Real]]</calculatedColumnFormula>
      <totalsRowFormula>SUM(Lazer101149[Diferença])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62AB273B-4EC5-41B8-80D7-FA4C2FB5D277}" name="Moradia102150" displayName="Moradia102150" ref="A17:D25" totalsRowCount="1" headerRowDxfId="517" dataDxfId="515" totalsRowDxfId="513" headerRowBorderDxfId="516" tableBorderDxfId="514" totalsRowBorderDxfId="512">
  <tableColumns count="4">
    <tableColumn id="1" xr3:uid="{4BB31EAB-513A-4071-8D5B-925DC27B81D2}" name="[" totalsRowLabel="Subtotal" dataDxfId="511" totalsRowDxfId="510"/>
    <tableColumn id="2" xr3:uid="{44637963-4A33-44FF-AD62-081C03C7544E}" name="Orçado" totalsRowFunction="custom" dataDxfId="509" totalsRowDxfId="508">
      <totalsRowFormula>SUM(Moradia102150[Orçado])</totalsRowFormula>
    </tableColumn>
    <tableColumn id="3" xr3:uid="{8B9DD163-03AF-4687-A69E-2CB3E70AAA54}" name="Real" totalsRowFunction="custom" dataDxfId="507" totalsRowDxfId="506">
      <totalsRowFormula>SUM(Moradia102150[Real])</totalsRowFormula>
    </tableColumn>
    <tableColumn id="4" xr3:uid="{B48056B2-042D-4B9D-A299-9505B1BB46A0}" name="Diferença" totalsRowFunction="custom" dataDxfId="505" totalsRowDxfId="504">
      <calculatedColumnFormula>Moradia102150[[#This Row],[Orçado]]-Moradia102150[[#This Row],[Real]]</calculatedColumnFormula>
      <totalsRowFormula>SUM(Moradia102150[Diferença])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8B7CBBC6-DA9F-4576-948F-790D807584FF}" name="Outros103151" displayName="Outros103151" ref="F50:I58" totalsRowCount="1" headerRowDxfId="503" dataDxfId="501" totalsRowDxfId="500" headerRowBorderDxfId="502" totalsRowBorderDxfId="499">
  <tableColumns count="4">
    <tableColumn id="1" xr3:uid="{01073B78-6574-4ED8-BA06-FED2BFC9D3A0}" name="0" totalsRowLabel="Subtotal" dataDxfId="498" totalsRowDxfId="497"/>
    <tableColumn id="2" xr3:uid="{8E258186-EBFF-405D-B1D6-78E66EDB4C96}" name="Orçado" totalsRowFunction="custom" dataDxfId="496" totalsRowDxfId="495">
      <totalsRowFormula>SUM(Outros103151[Orçado])</totalsRowFormula>
    </tableColumn>
    <tableColumn id="3" xr3:uid="{B45BBC39-999E-4F7B-94CF-6F58BB3AD16E}" name="Real" totalsRowFunction="custom" dataDxfId="494" totalsRowDxfId="493">
      <totalsRowFormula>SUM(Outros103151[Real])</totalsRowFormula>
    </tableColumn>
    <tableColumn id="4" xr3:uid="{4A275DFB-C627-4A30-8C16-03FBC095802E}" name="Diferença" totalsRowFunction="custom" dataDxfId="492" totalsRowDxfId="491">
      <calculatedColumnFormula>Outros103151[[#This Row],[Orçado]]-Outros103151[[#This Row],[Real]]</calculatedColumnFormula>
      <totalsRowFormula>SUM(Outros103151[Diferença])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28DF00C-DAAB-4FEC-A5E8-6D9D76F0B546}" name="Investimentos104152" displayName="Investimentos104152" ref="A50:D58" totalsRowCount="1" headerRowDxfId="490" dataDxfId="488" totalsRowDxfId="487" headerRowBorderDxfId="489" totalsRowBorderDxfId="486">
  <tableColumns count="4">
    <tableColumn id="1" xr3:uid="{D92D7597-CDB2-4106-8D1B-52A1BEF897F0}" name="0" totalsRowLabel="Subtotal" dataDxfId="485" totalsRowDxfId="484"/>
    <tableColumn id="2" xr3:uid="{1AF7C950-D0E0-437C-8D18-28F0E8E60DE1}" name="Orçado" totalsRowFunction="custom" dataDxfId="483" totalsRowDxfId="482">
      <totalsRowFormula>SUM(Investimentos104152[Orçado])</totalsRowFormula>
    </tableColumn>
    <tableColumn id="3" xr3:uid="{AE8463B7-DEC7-44F6-93C2-83459A5F7FFE}" name="Real" totalsRowFunction="custom" dataDxfId="481" totalsRowDxfId="480">
      <totalsRowFormula>SUM(Investimentos104152[Real])</totalsRowFormula>
    </tableColumn>
    <tableColumn id="4" xr3:uid="{D942DA8C-B241-478F-82DA-58EDF04B8298}" name="Diferença" totalsRowFunction="custom" dataDxfId="479" totalsRowDxfId="478">
      <calculatedColumnFormula>Investimentos104152[[#This Row],[Orçado]]-Investimentos104152[[#This Row],[Real]]</calculatedColumnFormula>
      <totalsRowFormula>SUM(Investimentos104152[Diferença])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9B87DDCD-3D57-4A1D-A4E6-E8123B786084}" name="Transporte105153" displayName="Transporte105153" ref="F39:I47" totalsRowCount="1" headerRowDxfId="477" dataDxfId="475" totalsRowDxfId="473" headerRowBorderDxfId="476" tableBorderDxfId="474" totalsRowBorderDxfId="472">
  <tableColumns count="4">
    <tableColumn id="1" xr3:uid="{BC4A0BB8-7BC8-4737-9E76-DC6D6631FCA0}" name="0" totalsRowLabel="Subtotal" dataDxfId="471" totalsRowDxfId="470"/>
    <tableColumn id="2" xr3:uid="{86FDCA3C-5ECE-4502-83CF-76F9D72C8C77}" name="Orçado" totalsRowFunction="custom" dataDxfId="469" totalsRowDxfId="468">
      <totalsRowFormula>SUM(Transporte105153[Orçado])</totalsRowFormula>
    </tableColumn>
    <tableColumn id="3" xr3:uid="{BCC496BE-7CF5-4BF8-970B-95985F2EA190}" name="Real" totalsRowFunction="custom" dataDxfId="467" totalsRowDxfId="466">
      <totalsRowFormula>SUM(Transporte105153[Real])</totalsRowFormula>
    </tableColumn>
    <tableColumn id="4" xr3:uid="{4E23405A-59CA-427A-B7C6-27F3EACA5D8C}" name="Diferença" totalsRowFunction="custom" dataDxfId="465" totalsRowDxfId="464">
      <calculatedColumnFormula>Transporte105153[[#This Row],[Orçado]]-Transporte105153[[#This Row],[Real]]</calculatedColumnFormula>
      <totalsRowFormula>SUM(Transporte105153[Diferença])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BB6FFE59-9B69-43B7-97B3-DBB2A89C7488}" name="Alimentação98154" displayName="Alimentação98154" ref="F28:I36" totalsRowCount="1" headerRowDxfId="457" dataDxfId="455" totalsRowDxfId="453" headerRowBorderDxfId="456" tableBorderDxfId="454" totalsRowBorderDxfId="452">
  <tableColumns count="4">
    <tableColumn id="1" xr3:uid="{0188FC5A-C905-41BC-B7A8-228699065F4C}" name="0" totalsRowLabel="Subtotal" dataDxfId="451" totalsRowDxfId="450"/>
    <tableColumn id="2" xr3:uid="{77596998-F4F9-4ED4-95B0-5C99A5A83CA7}" name="Orçado" totalsRowFunction="custom" dataDxfId="449" totalsRowDxfId="448">
      <totalsRowFormula>SUM(Alimentação98154[Orçado])</totalsRowFormula>
    </tableColumn>
    <tableColumn id="3" xr3:uid="{26FA4DF9-912D-4279-8F01-AA86FE88C8BD}" name="Real" totalsRowFunction="custom" dataDxfId="447" totalsRowDxfId="446">
      <totalsRowFormula>SUM(Alimentação98154[Real])</totalsRowFormula>
    </tableColumn>
    <tableColumn id="4" xr3:uid="{59CCD3F5-DEF1-4D0D-AEA2-1E115D3C6850}" name="Diferença" totalsRowFunction="custom" dataDxfId="445" totalsRowDxfId="444">
      <calculatedColumnFormula>Alimentação98154[[#This Row],[Orçado]]-Alimentação98154[[#This Row],[Real]]</calculatedColumnFormula>
      <totalsRowFormula>SUM(Alimentação98154[Diferença])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1C29D762-A460-4166-873B-C401F10A0315}" name="Saúde99155" displayName="Saúde99155" ref="A28:D36" totalsRowCount="1" headerRowDxfId="443" dataDxfId="441" totalsRowDxfId="439" headerRowBorderDxfId="442" tableBorderDxfId="440" totalsRowBorderDxfId="438">
  <tableColumns count="4">
    <tableColumn id="1" xr3:uid="{0A92B944-C946-4C5C-97A1-7430BF091BCE}" name="0" totalsRowLabel="Subtotal" dataDxfId="437" totalsRowDxfId="436"/>
    <tableColumn id="2" xr3:uid="{81BCC701-6993-4954-A36E-26961CA3F60A}" name="Orçado" totalsRowFunction="custom" dataDxfId="435" totalsRowDxfId="434">
      <totalsRowFormula>SUM(Saúde99155[Orçado])</totalsRowFormula>
    </tableColumn>
    <tableColumn id="3" xr3:uid="{FF91F7F5-8F43-42FD-8F0E-7BC5889FAA16}" name="Real" totalsRowFunction="custom" dataDxfId="433" totalsRowDxfId="432">
      <totalsRowFormula>SUM(Saúde99155[Real])</totalsRowFormula>
    </tableColumn>
    <tableColumn id="4" xr3:uid="{78DBC5B8-CA6A-481F-AC1D-D1B68FF67974}" name="Diferença" totalsRowFunction="custom" dataDxfId="431" totalsRowDxfId="430">
      <calculatedColumnFormula>Saúde99155[[#This Row],[Orçado]]-Saúde99155[[#This Row],[Real]]</calculatedColumnFormula>
      <totalsRowFormula>SUM(Saúde99155[Diferença])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38266C60-241D-4967-B240-31F494CE4CFE}" name="Pessoaleducacao100156" displayName="Pessoaleducacao100156" ref="A39:D47" totalsRowCount="1" headerRowDxfId="429" dataDxfId="427" totalsRowDxfId="425" headerRowBorderDxfId="428" tableBorderDxfId="426" totalsRowBorderDxfId="424">
  <tableColumns count="4">
    <tableColumn id="1" xr3:uid="{A8E6A8D4-2591-4612-8C6B-A8D3BCC88584}" name="0" totalsRowLabel="Subtotal" dataDxfId="423" totalsRowDxfId="422"/>
    <tableColumn id="2" xr3:uid="{EDA388B2-B1B5-4C0C-AC79-1826242F9649}" name="Orçado" totalsRowFunction="custom" dataDxfId="421" totalsRowDxfId="420">
      <totalsRowFormula>SUM(Pessoaleducacao100156[Orçado])</totalsRowFormula>
    </tableColumn>
    <tableColumn id="3" xr3:uid="{4BDFA7CF-C50D-4764-9253-4F352461BBD1}" name="Real" totalsRowFunction="custom" dataDxfId="419" totalsRowDxfId="418">
      <totalsRowFormula>SUM(Pessoaleducacao100156[Real])</totalsRowFormula>
    </tableColumn>
    <tableColumn id="4" xr3:uid="{9D2442B7-1871-4851-AAFD-0422DDD9D542}" name="Diferença" totalsRowFunction="custom" dataDxfId="417" totalsRowDxfId="416">
      <calculatedColumnFormula>Pessoaleducacao100156[[#This Row],[Orçado]]-Pessoaleducacao100156[[#This Row],[Real]]</calculatedColumnFormula>
      <totalsRowFormula>SUM(Pessoaleducacao100156[Diferença])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81DEDE62-4135-4FE5-B43F-CA24FE10624C}" name="Lazer101157" displayName="Lazer101157" ref="F17:I25" totalsRowCount="1" headerRowDxfId="415" dataDxfId="413" totalsRowDxfId="411" headerRowBorderDxfId="414" tableBorderDxfId="412" totalsRowBorderDxfId="410">
  <tableColumns count="4">
    <tableColumn id="1" xr3:uid="{948D0250-574B-4DDB-8BFE-6709412A9395}" name="0" totalsRowLabel="Subtotal" dataDxfId="409" totalsRowDxfId="408"/>
    <tableColumn id="2" xr3:uid="{69A89D8F-E83F-4329-AD23-1F0F72DBBFC0}" name="Orçado" totalsRowFunction="custom" dataDxfId="407" totalsRowDxfId="406">
      <totalsRowFormula>SUM(Lazer101157[Orçado])</totalsRowFormula>
    </tableColumn>
    <tableColumn id="3" xr3:uid="{04CBD42E-20BF-4BC9-A11E-E5502D06247E}" name="Real" totalsRowFunction="custom" dataDxfId="405" totalsRowDxfId="404">
      <totalsRowFormula>SUM(Lazer101157[Real])</totalsRowFormula>
    </tableColumn>
    <tableColumn id="4" xr3:uid="{738A596E-11E7-4AF7-ADEC-067880634B26}" name="Diferença" totalsRowFunction="custom" dataDxfId="403" totalsRowDxfId="402">
      <calculatedColumnFormula>Lazer101157[[#This Row],[Orçado]]-Lazer101157[[#This Row],[Real]]</calculatedColumnFormula>
      <totalsRowFormula>SUM(Lazer101157[Diferença])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1CABECEC-8ABD-4F0E-8CD0-95CDB5C34E6C}" name="Moradia102158" displayName="Moradia102158" ref="A17:D25" totalsRowCount="1" headerRowDxfId="401" dataDxfId="399" totalsRowDxfId="397" headerRowBorderDxfId="400" tableBorderDxfId="398" totalsRowBorderDxfId="396">
  <tableColumns count="4">
    <tableColumn id="1" xr3:uid="{A8EBF47E-86C3-4340-8A1A-B518361396C1}" name="[" totalsRowLabel="Subtotal" dataDxfId="395" totalsRowDxfId="394"/>
    <tableColumn id="2" xr3:uid="{F16E17D8-11FB-4D96-8505-AD5CD58266C2}" name="Orçado" totalsRowFunction="custom" dataDxfId="393" totalsRowDxfId="392">
      <totalsRowFormula>SUM(Moradia102158[Orçado])</totalsRowFormula>
    </tableColumn>
    <tableColumn id="3" xr3:uid="{9F493C7C-61F0-4FF1-9E7D-D0DD40C57657}" name="Real" totalsRowFunction="custom" dataDxfId="391" totalsRowDxfId="390">
      <totalsRowFormula>SUM(Moradia102158[Real])</totalsRowFormula>
    </tableColumn>
    <tableColumn id="4" xr3:uid="{A1F07A60-7E76-4C1F-91DB-5FAB6C234497}" name="Diferença" totalsRowFunction="custom" dataDxfId="389" totalsRowDxfId="388">
      <calculatedColumnFormula>Moradia102158[[#This Row],[Orçado]]-Moradia102158[[#This Row],[Real]]</calculatedColumnFormula>
      <totalsRowFormula>SUM(Moradia102158[Diferença])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4ABA1-F438-4C8C-A8E7-69FD9F828649}" name="Investimentos" displayName="Investimentos" ref="A50:D58" totalsRowCount="1" headerRowDxfId="1302" dataDxfId="1300" totalsRowDxfId="1299" headerRowBorderDxfId="1301" totalsRowBorderDxfId="1298">
  <tableColumns count="4">
    <tableColumn id="1" xr3:uid="{C16D864F-CB8F-4375-8F30-E99B079A34CD}" name="0" totalsRowLabel="Subtotal" dataDxfId="1297" totalsRowDxfId="1296"/>
    <tableColumn id="2" xr3:uid="{DE9115B4-1554-49EA-A54D-D6DD76316C00}" name="Orçado" totalsRowFunction="custom" dataDxfId="1295" totalsRowDxfId="1294">
      <totalsRowFormula>SUM(Investimentos[Orçado])</totalsRowFormula>
    </tableColumn>
    <tableColumn id="3" xr3:uid="{F2E4C825-8227-48C5-AFEB-3AB10E81661D}" name="Real" totalsRowFunction="custom" dataDxfId="1293" totalsRowDxfId="1292">
      <totalsRowFormula>SUM(Investimentos[Real])</totalsRowFormula>
    </tableColumn>
    <tableColumn id="4" xr3:uid="{CBAC2CA1-9E13-49B4-8239-A51199061EE8}" name="Diferença" totalsRowFunction="custom" dataDxfId="1291" totalsRowDxfId="1290">
      <calculatedColumnFormula>Investimentos[[#This Row],[Orçado]]-Investimentos[[#This Row],[Real]]</calculatedColumnFormula>
      <totalsRowFormula>SUM(Investimentos[Diferença])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87A8FB74-A28F-4E12-953F-C9A5C85D7B88}" name="Outros103159" displayName="Outros103159" ref="F50:I58" totalsRowCount="1" headerRowDxfId="387" dataDxfId="385" totalsRowDxfId="384" headerRowBorderDxfId="386" totalsRowBorderDxfId="383">
  <tableColumns count="4">
    <tableColumn id="1" xr3:uid="{B0BE37E5-291C-433D-A86A-9AD9D0460BE4}" name="0" totalsRowLabel="Subtotal" dataDxfId="382" totalsRowDxfId="381"/>
    <tableColumn id="2" xr3:uid="{7BF6E555-E4BD-4DAA-B984-E4BC322533CB}" name="Orçado" totalsRowFunction="custom" dataDxfId="380" totalsRowDxfId="379">
      <totalsRowFormula>SUM(Outros103159[Orçado])</totalsRowFormula>
    </tableColumn>
    <tableColumn id="3" xr3:uid="{C104D137-9179-42E8-8AA2-9CEC85467957}" name="Real" totalsRowFunction="custom" dataDxfId="378" totalsRowDxfId="377">
      <totalsRowFormula>SUM(Outros103159[Real])</totalsRowFormula>
    </tableColumn>
    <tableColumn id="4" xr3:uid="{8ECE666B-3D6C-4FD8-B1B2-B42ABBEDCB83}" name="Diferença" totalsRowFunction="custom" dataDxfId="376" totalsRowDxfId="375">
      <calculatedColumnFormula>Outros103159[[#This Row],[Orçado]]-Outros103159[[#This Row],[Real]]</calculatedColumnFormula>
      <totalsRowFormula>SUM(Outros103159[Diferença])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C04D3C00-5534-41B7-A922-E6E4D7C20E74}" name="Investimentos104160" displayName="Investimentos104160" ref="A50:D58" totalsRowCount="1" headerRowDxfId="374" dataDxfId="372" totalsRowDxfId="371" headerRowBorderDxfId="373" totalsRowBorderDxfId="370">
  <tableColumns count="4">
    <tableColumn id="1" xr3:uid="{4A01C34B-D3B9-4C4F-8725-D4935EAF9E60}" name="0" totalsRowLabel="Subtotal" dataDxfId="369" totalsRowDxfId="368"/>
    <tableColumn id="2" xr3:uid="{6474A886-73CA-49D8-ABD3-BA4E33F42D71}" name="Orçado" totalsRowFunction="custom" dataDxfId="367" totalsRowDxfId="366">
      <totalsRowFormula>SUM(Investimentos104160[Orçado])</totalsRowFormula>
    </tableColumn>
    <tableColumn id="3" xr3:uid="{8676BF87-C6F6-4C4E-BC9D-B8075098C645}" name="Real" totalsRowFunction="custom" dataDxfId="365" totalsRowDxfId="364">
      <totalsRowFormula>SUM(Investimentos104160[Real])</totalsRowFormula>
    </tableColumn>
    <tableColumn id="4" xr3:uid="{BE0EC1FF-1281-4C79-B52D-771C89E1967D}" name="Diferença" totalsRowFunction="custom" dataDxfId="363" totalsRowDxfId="362">
      <calculatedColumnFormula>Investimentos104160[[#This Row],[Orçado]]-Investimentos104160[[#This Row],[Real]]</calculatedColumnFormula>
      <totalsRowFormula>SUM(Investimentos104160[Diferença])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F8224BF-644B-4831-AFFE-50A47AD38C35}" name="Transporte105161" displayName="Transporte105161" ref="F39:I47" totalsRowCount="1" headerRowDxfId="361" dataDxfId="359" totalsRowDxfId="357" headerRowBorderDxfId="360" tableBorderDxfId="358" totalsRowBorderDxfId="356">
  <tableColumns count="4">
    <tableColumn id="1" xr3:uid="{EC822D50-165E-469D-A6EA-BB0EC8724368}" name="0" totalsRowLabel="Subtotal" dataDxfId="355" totalsRowDxfId="354"/>
    <tableColumn id="2" xr3:uid="{B8206A77-C4BE-4C13-A5F7-B0CEC12BD8F6}" name="Orçado" totalsRowFunction="custom" dataDxfId="353" totalsRowDxfId="352">
      <totalsRowFormula>SUM(Transporte105161[Orçado])</totalsRowFormula>
    </tableColumn>
    <tableColumn id="3" xr3:uid="{95C95AC6-40B0-4C40-AAA9-58FF39808DD2}" name="Real" totalsRowFunction="custom" dataDxfId="351" totalsRowDxfId="350">
      <totalsRowFormula>SUM(Transporte105161[Real])</totalsRowFormula>
    </tableColumn>
    <tableColumn id="4" xr3:uid="{80543950-0EE1-4E95-9F6A-37B828D7C14B}" name="Diferença" totalsRowFunction="custom" dataDxfId="349" totalsRowDxfId="348">
      <calculatedColumnFormula>Transporte105161[[#This Row],[Orçado]]-Transporte105161[[#This Row],[Real]]</calculatedColumnFormula>
      <totalsRowFormula>SUM(Transporte105161[Diferença])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CD913935-D83D-4958-A84D-B8E06BBAD250}" name="Alimentação98162" displayName="Alimentação98162" ref="F28:I36" totalsRowCount="1" headerRowDxfId="341" dataDxfId="339" totalsRowDxfId="337" headerRowBorderDxfId="340" tableBorderDxfId="338" totalsRowBorderDxfId="336">
  <tableColumns count="4">
    <tableColumn id="1" xr3:uid="{A4F171D3-4443-460F-95E1-88E0E69AE159}" name="0" totalsRowLabel="Subtotal" dataDxfId="335" totalsRowDxfId="334"/>
    <tableColumn id="2" xr3:uid="{02A850F7-64C4-4FCE-BB70-B200A699A130}" name="Orçado" totalsRowFunction="custom" dataDxfId="333" totalsRowDxfId="332">
      <totalsRowFormula>SUM(Alimentação98162[Orçado])</totalsRowFormula>
    </tableColumn>
    <tableColumn id="3" xr3:uid="{392C7A44-9C20-445A-B8DB-51AFBB04FDD0}" name="Real" totalsRowFunction="custom" dataDxfId="331" totalsRowDxfId="330">
      <totalsRowFormula>SUM(Alimentação98162[Real])</totalsRowFormula>
    </tableColumn>
    <tableColumn id="4" xr3:uid="{92CC0BEB-DE67-4808-8F94-A1BCE5C4DCC3}" name="Diferença" totalsRowFunction="custom" dataDxfId="329" totalsRowDxfId="328">
      <calculatedColumnFormula>Alimentação98162[[#This Row],[Orçado]]-Alimentação98162[[#This Row],[Real]]</calculatedColumnFormula>
      <totalsRowFormula>SUM(Alimentação98162[Diferença])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63801E76-0464-47D2-92D2-E5ACF712CD66}" name="Saúde99163" displayName="Saúde99163" ref="A28:D36" totalsRowCount="1" headerRowDxfId="327" dataDxfId="325" totalsRowDxfId="323" headerRowBorderDxfId="326" tableBorderDxfId="324" totalsRowBorderDxfId="322">
  <tableColumns count="4">
    <tableColumn id="1" xr3:uid="{978009EF-FADB-4338-82BB-0149274B8547}" name="0" totalsRowLabel="Subtotal" dataDxfId="321" totalsRowDxfId="320"/>
    <tableColumn id="2" xr3:uid="{9F43E8E6-A902-4D27-86BE-FC13C439AD44}" name="Orçado" totalsRowFunction="custom" dataDxfId="319" totalsRowDxfId="318">
      <totalsRowFormula>SUM(Saúde99163[Orçado])</totalsRowFormula>
    </tableColumn>
    <tableColumn id="3" xr3:uid="{0E532A50-BAFE-4040-A53A-BD6FB5C48521}" name="Real" totalsRowFunction="custom" dataDxfId="317" totalsRowDxfId="316">
      <totalsRowFormula>SUM(Saúde99163[Real])</totalsRowFormula>
    </tableColumn>
    <tableColumn id="4" xr3:uid="{E21B1AE4-4B72-4982-A591-BC8A31BDE406}" name="Diferença" totalsRowFunction="custom" dataDxfId="315" totalsRowDxfId="314">
      <calculatedColumnFormula>Saúde99163[[#This Row],[Orçado]]-Saúde99163[[#This Row],[Real]]</calculatedColumnFormula>
      <totalsRowFormula>SUM(Saúde99163[Diferença])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26D18B53-8D45-4C0A-86FC-71E59C96A26D}" name="Pessoaleducacao100164" displayName="Pessoaleducacao100164" ref="A39:D47" totalsRowCount="1" headerRowDxfId="313" dataDxfId="311" totalsRowDxfId="309" headerRowBorderDxfId="312" tableBorderDxfId="310" totalsRowBorderDxfId="308">
  <tableColumns count="4">
    <tableColumn id="1" xr3:uid="{C49FFF5F-5B7D-46B3-A459-6E28FA9F95D0}" name="0" totalsRowLabel="Subtotal" dataDxfId="307" totalsRowDxfId="306"/>
    <tableColumn id="2" xr3:uid="{5678CE4C-DB53-439E-97A6-D27FD09B4384}" name="Orçado" totalsRowFunction="custom" dataDxfId="305" totalsRowDxfId="304">
      <totalsRowFormula>SUM(Pessoaleducacao100164[Orçado])</totalsRowFormula>
    </tableColumn>
    <tableColumn id="3" xr3:uid="{B969F566-8669-4C01-B665-04E6B9A90133}" name="Real" totalsRowFunction="custom" dataDxfId="303" totalsRowDxfId="302">
      <totalsRowFormula>SUM(Pessoaleducacao100164[Real])</totalsRowFormula>
    </tableColumn>
    <tableColumn id="4" xr3:uid="{EC6C0BA1-BA8B-4A0E-BA8F-6AE250EFD142}" name="Diferença" totalsRowFunction="custom" dataDxfId="301" totalsRowDxfId="300">
      <calculatedColumnFormula>Pessoaleducacao100164[[#This Row],[Orçado]]-Pessoaleducacao100164[[#This Row],[Real]]</calculatedColumnFormula>
      <totalsRowFormula>SUM(Pessoaleducacao100164[Diferença])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CB41EE0E-0FE5-416E-BB99-53E34FFB0E3A}" name="Lazer101165" displayName="Lazer101165" ref="F17:I25" totalsRowCount="1" headerRowDxfId="299" dataDxfId="297" totalsRowDxfId="295" headerRowBorderDxfId="298" tableBorderDxfId="296" totalsRowBorderDxfId="294">
  <tableColumns count="4">
    <tableColumn id="1" xr3:uid="{38555F47-B8EE-4DC8-A265-9076BF2BBCB6}" name="0" totalsRowLabel="Subtotal" dataDxfId="293" totalsRowDxfId="292"/>
    <tableColumn id="2" xr3:uid="{A9559A0C-AFC8-4E5A-B17F-DAA89E0D996E}" name="Orçado" totalsRowFunction="custom" dataDxfId="291" totalsRowDxfId="290">
      <totalsRowFormula>SUM(Lazer101165[Orçado])</totalsRowFormula>
    </tableColumn>
    <tableColumn id="3" xr3:uid="{3D37F8FD-4860-4272-9A1C-99DAFCD35536}" name="Real" totalsRowFunction="custom" dataDxfId="289" totalsRowDxfId="288">
      <totalsRowFormula>SUM(Lazer101165[Real])</totalsRowFormula>
    </tableColumn>
    <tableColumn id="4" xr3:uid="{E5A4A640-FE82-4D15-8EF4-DF7A02B38903}" name="Diferença" totalsRowFunction="custom" dataDxfId="287" totalsRowDxfId="286">
      <calculatedColumnFormula>Lazer101165[[#This Row],[Orçado]]-Lazer101165[[#This Row],[Real]]</calculatedColumnFormula>
      <totalsRowFormula>SUM(Lazer101165[Diferença])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6F27CA1F-5065-4900-9717-63897B68A938}" name="Moradia102166" displayName="Moradia102166" ref="A17:D25" totalsRowCount="1" headerRowDxfId="285" dataDxfId="283" totalsRowDxfId="281" headerRowBorderDxfId="284" tableBorderDxfId="282" totalsRowBorderDxfId="280">
  <tableColumns count="4">
    <tableColumn id="1" xr3:uid="{C313BD0E-2883-4683-8B34-6AF04DCA9F1E}" name="[" totalsRowLabel="Subtotal" dataDxfId="279" totalsRowDxfId="278"/>
    <tableColumn id="2" xr3:uid="{AA59D040-C155-4222-9B19-F69E1B498660}" name="Orçado" totalsRowFunction="custom" dataDxfId="277" totalsRowDxfId="276">
      <totalsRowFormula>SUM(Moradia102166[Orçado])</totalsRowFormula>
    </tableColumn>
    <tableColumn id="3" xr3:uid="{31D9A883-33FD-4E82-BAF2-3ECE7152DB95}" name="Real" totalsRowFunction="custom" dataDxfId="275" totalsRowDxfId="274">
      <totalsRowFormula>SUM(Moradia102166[Real])</totalsRowFormula>
    </tableColumn>
    <tableColumn id="4" xr3:uid="{A78672E3-B269-47D1-AAFA-BE28EC1C7E41}" name="Diferença" totalsRowFunction="custom" dataDxfId="273" totalsRowDxfId="272">
      <calculatedColumnFormula>Moradia102166[[#This Row],[Orçado]]-Moradia102166[[#This Row],[Real]]</calculatedColumnFormula>
      <totalsRowFormula>SUM(Moradia102166[Diferença])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5A25ACC4-D2A9-4839-AA24-35E827CB9461}" name="Outros103167" displayName="Outros103167" ref="F50:I58" totalsRowCount="1" headerRowDxfId="271" dataDxfId="269" totalsRowDxfId="268" headerRowBorderDxfId="270" totalsRowBorderDxfId="267">
  <tableColumns count="4">
    <tableColumn id="1" xr3:uid="{BDD45B77-F30E-4003-8484-95E4890AB941}" name="0" totalsRowLabel="Subtotal" dataDxfId="266" totalsRowDxfId="265"/>
    <tableColumn id="2" xr3:uid="{1166230A-93C7-4494-8BCD-D07CB528262A}" name="Orçado" totalsRowFunction="custom" dataDxfId="264" totalsRowDxfId="263">
      <totalsRowFormula>SUM(Outros103167[Orçado])</totalsRowFormula>
    </tableColumn>
    <tableColumn id="3" xr3:uid="{E0FC03DD-4F9B-404E-BDB8-5A95E06E1814}" name="Real" totalsRowFunction="custom" dataDxfId="262" totalsRowDxfId="261">
      <totalsRowFormula>SUM(Outros103167[Real])</totalsRowFormula>
    </tableColumn>
    <tableColumn id="4" xr3:uid="{2E7C27DF-0789-4037-843E-582DC6844196}" name="Diferença" totalsRowFunction="custom" dataDxfId="260" totalsRowDxfId="259">
      <calculatedColumnFormula>Outros103167[[#This Row],[Orçado]]-Outros103167[[#This Row],[Real]]</calculatedColumnFormula>
      <totalsRowFormula>SUM(Outros103167[Diferença])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DA69E8B5-3FBA-4628-A7E6-CC44CD5DB75F}" name="Investimentos104168" displayName="Investimentos104168" ref="A50:D58" totalsRowCount="1" headerRowDxfId="258" dataDxfId="256" totalsRowDxfId="255" headerRowBorderDxfId="257" totalsRowBorderDxfId="254">
  <tableColumns count="4">
    <tableColumn id="1" xr3:uid="{94CFFD41-58A9-458A-B10D-7E73B16A590C}" name="0" totalsRowLabel="Subtotal" dataDxfId="253" totalsRowDxfId="252"/>
    <tableColumn id="2" xr3:uid="{C04DCD80-32DA-4266-A20E-80482987558A}" name="Orçado" totalsRowFunction="custom" dataDxfId="251" totalsRowDxfId="250">
      <totalsRowFormula>SUM(Investimentos104168[Orçado])</totalsRowFormula>
    </tableColumn>
    <tableColumn id="3" xr3:uid="{ABF8A20D-1C44-4761-B2C9-FAEB91239300}" name="Real" totalsRowFunction="custom" dataDxfId="249" totalsRowDxfId="248">
      <totalsRowFormula>SUM(Investimentos104168[Real])</totalsRowFormula>
    </tableColumn>
    <tableColumn id="4" xr3:uid="{32B9506F-4280-4FE7-B5A8-1C98D3F59603}" name="Diferença" totalsRowFunction="custom" dataDxfId="247" totalsRowDxfId="246">
      <calculatedColumnFormula>Investimentos104168[[#This Row],[Orçado]]-Investimentos104168[[#This Row],[Real]]</calculatedColumnFormula>
      <totalsRowFormula>SUM(Investimentos104168[Diferença])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4C5490F-0D40-45DA-9A11-24452B25ACFF}" name="Transporte" displayName="Transporte" ref="F39:I47" totalsRowCount="1" headerRowDxfId="1289" dataDxfId="1287" totalsRowDxfId="1285" headerRowBorderDxfId="1288" tableBorderDxfId="1286" totalsRowBorderDxfId="1284">
  <tableColumns count="4">
    <tableColumn id="1" xr3:uid="{DEE70DAF-952F-4A9A-BC3C-F04B0180FDE2}" name="0" totalsRowLabel="Subtotal" dataDxfId="1283" totalsRowDxfId="1282"/>
    <tableColumn id="2" xr3:uid="{C1544FEC-576C-422E-B43D-C3B7C5137BF2}" name="Orçado" totalsRowFunction="custom" dataDxfId="1281" totalsRowDxfId="1280">
      <totalsRowFormula>SUM(Transporte[Orçado])</totalsRowFormula>
    </tableColumn>
    <tableColumn id="3" xr3:uid="{7C5E80A0-BC63-4268-947F-972BF85B90DE}" name="Real" totalsRowFunction="custom" dataDxfId="1279" totalsRowDxfId="1278">
      <totalsRowFormula>SUM(Transporte[Real])</totalsRowFormula>
    </tableColumn>
    <tableColumn id="4" xr3:uid="{4B15BAAE-62FC-4DF0-B492-96C89EC5B2D3}" name="Diferença" totalsRowFunction="custom" dataDxfId="1277" totalsRowDxfId="1276">
      <calculatedColumnFormula>Transporte[[#This Row],[Orçado]]-Transporte[[#This Row],[Real]]</calculatedColumnFormula>
      <totalsRowFormula>SUM(Transporte[Diferença])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DE1B71F0-B37C-401B-9092-6C98929CCC87}" name="Transporte105169" displayName="Transporte105169" ref="F39:I47" totalsRowCount="1" headerRowDxfId="245" dataDxfId="243" totalsRowDxfId="241" headerRowBorderDxfId="244" tableBorderDxfId="242" totalsRowBorderDxfId="240">
  <tableColumns count="4">
    <tableColumn id="1" xr3:uid="{84A246FA-5BE3-4E87-BDA8-68EB37A54129}" name="0" totalsRowLabel="Subtotal" dataDxfId="239" totalsRowDxfId="238"/>
    <tableColumn id="2" xr3:uid="{46E95F93-AF49-4178-82FB-3454948641FD}" name="Orçado" totalsRowFunction="custom" dataDxfId="237" totalsRowDxfId="236">
      <totalsRowFormula>SUM(Transporte105169[Orçado])</totalsRowFormula>
    </tableColumn>
    <tableColumn id="3" xr3:uid="{463371C6-F976-4F11-93D1-03EAB4E143D2}" name="Real" totalsRowFunction="custom" dataDxfId="235" totalsRowDxfId="234">
      <totalsRowFormula>SUM(Transporte105169[Real])</totalsRowFormula>
    </tableColumn>
    <tableColumn id="4" xr3:uid="{697AF365-D2E6-405B-B0F4-9E5B632AAD94}" name="Diferença" totalsRowFunction="custom" dataDxfId="233" totalsRowDxfId="232">
      <calculatedColumnFormula>Transporte105169[[#This Row],[Orçado]]-Transporte105169[[#This Row],[Real]]</calculatedColumnFormula>
      <totalsRowFormula>SUM(Transporte105169[Diferença])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584A6466-DB7D-4FF5-B882-405954B5B438}" name="Alimentação98170" displayName="Alimentação98170" ref="F28:I36" totalsRowCount="1" headerRowDxfId="225" dataDxfId="223" totalsRowDxfId="221" headerRowBorderDxfId="224" tableBorderDxfId="222" totalsRowBorderDxfId="220">
  <tableColumns count="4">
    <tableColumn id="1" xr3:uid="{BFB5A885-B762-4E8C-A374-98F578D08949}" name="0" totalsRowLabel="Subtotal" dataDxfId="219" totalsRowDxfId="218"/>
    <tableColumn id="2" xr3:uid="{3E5FE2D3-32B1-4831-8974-B6797807FADF}" name="Orçado" totalsRowFunction="custom" dataDxfId="217" totalsRowDxfId="216">
      <totalsRowFormula>SUM(Alimentação98170[Orçado])</totalsRowFormula>
    </tableColumn>
    <tableColumn id="3" xr3:uid="{497737AE-D6D9-4C41-B00D-F997F0138759}" name="Real" totalsRowFunction="custom" dataDxfId="215" totalsRowDxfId="214">
      <totalsRowFormula>SUM(Alimentação98170[Real])</totalsRowFormula>
    </tableColumn>
    <tableColumn id="4" xr3:uid="{0E161CE2-ABCC-44A4-BBD2-638045E9778C}" name="Diferença" totalsRowFunction="custom" dataDxfId="213" totalsRowDxfId="212">
      <calculatedColumnFormula>Alimentação98170[[#This Row],[Orçado]]-Alimentação98170[[#This Row],[Real]]</calculatedColumnFormula>
      <totalsRowFormula>SUM(Alimentação98170[Diferença])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1D35434C-0B6C-49EA-90C2-33ECF45F2AD7}" name="Saúde99171" displayName="Saúde99171" ref="A28:D36" totalsRowCount="1" headerRowDxfId="211" dataDxfId="209" totalsRowDxfId="207" headerRowBorderDxfId="210" tableBorderDxfId="208" totalsRowBorderDxfId="206">
  <tableColumns count="4">
    <tableColumn id="1" xr3:uid="{89F3A7F4-3268-43D2-82D4-04BA32E69FEC}" name="0" totalsRowLabel="Subtotal" dataDxfId="205" totalsRowDxfId="204"/>
    <tableColumn id="2" xr3:uid="{F819A439-07E4-477E-8312-0468457AC407}" name="Orçado" totalsRowFunction="custom" dataDxfId="203" totalsRowDxfId="202">
      <totalsRowFormula>SUM(Saúde99171[Orçado])</totalsRowFormula>
    </tableColumn>
    <tableColumn id="3" xr3:uid="{6F375CCB-D7E6-4F4C-B6EF-7F577B2543C0}" name="Real" totalsRowFunction="custom" dataDxfId="201" totalsRowDxfId="200">
      <totalsRowFormula>SUM(Saúde99171[Real])</totalsRowFormula>
    </tableColumn>
    <tableColumn id="4" xr3:uid="{CFD3723D-7152-4E3F-9B6F-4398381734B0}" name="Diferença" totalsRowFunction="custom" dataDxfId="199" totalsRowDxfId="198">
      <calculatedColumnFormula>Saúde99171[[#This Row],[Orçado]]-Saúde99171[[#This Row],[Real]]</calculatedColumnFormula>
      <totalsRowFormula>SUM(Saúde99171[Diferença])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D4560C12-842C-46E7-B6B0-E93D982195B4}" name="Pessoaleducacao100172" displayName="Pessoaleducacao100172" ref="A39:D47" totalsRowCount="1" headerRowDxfId="197" dataDxfId="195" totalsRowDxfId="193" headerRowBorderDxfId="196" tableBorderDxfId="194" totalsRowBorderDxfId="192">
  <tableColumns count="4">
    <tableColumn id="1" xr3:uid="{E04CB24C-475F-47C5-B901-B28FEC8AFDA5}" name="0" totalsRowLabel="Subtotal" dataDxfId="191" totalsRowDxfId="190"/>
    <tableColumn id="2" xr3:uid="{60D06E6C-160B-4043-A052-F46E3714DBAD}" name="Orçado" totalsRowFunction="custom" dataDxfId="189" totalsRowDxfId="188">
      <totalsRowFormula>SUM(Pessoaleducacao100172[Orçado])</totalsRowFormula>
    </tableColumn>
    <tableColumn id="3" xr3:uid="{B560D28F-7457-4183-B5BC-480CE38226B1}" name="Real" totalsRowFunction="custom" dataDxfId="187" totalsRowDxfId="186">
      <totalsRowFormula>SUM(Pessoaleducacao100172[Real])</totalsRowFormula>
    </tableColumn>
    <tableColumn id="4" xr3:uid="{D875E584-6E37-4A05-B4D8-209081248774}" name="Diferença" totalsRowFunction="custom" dataDxfId="185" totalsRowDxfId="184">
      <calculatedColumnFormula>Pessoaleducacao100172[[#This Row],[Orçado]]-Pessoaleducacao100172[[#This Row],[Real]]</calculatedColumnFormula>
      <totalsRowFormula>SUM(Pessoaleducacao100172[Diferença])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2" xr:uid="{03C6FD0D-CB61-470E-9CE5-FD457FCE3DC9}" name="Lazer101173" displayName="Lazer101173" ref="F17:I25" totalsRowCount="1" headerRowDxfId="183" dataDxfId="181" totalsRowDxfId="179" headerRowBorderDxfId="182" tableBorderDxfId="180" totalsRowBorderDxfId="178">
  <tableColumns count="4">
    <tableColumn id="1" xr3:uid="{9ED777FE-0ED3-41C0-BCA8-8F411880BEBC}" name="0" totalsRowLabel="Subtotal" dataDxfId="177" totalsRowDxfId="176"/>
    <tableColumn id="2" xr3:uid="{F364E1CB-482C-49A2-A561-E84068F07DE4}" name="Orçado" totalsRowFunction="custom" dataDxfId="175" totalsRowDxfId="174">
      <totalsRowFormula>SUM(Lazer101173[Orçado])</totalsRowFormula>
    </tableColumn>
    <tableColumn id="3" xr3:uid="{C2B6F4FA-EB26-4E5D-812B-D35AD188469C}" name="Real" totalsRowFunction="custom" dataDxfId="173" totalsRowDxfId="172">
      <totalsRowFormula>SUM(Lazer101173[Real])</totalsRowFormula>
    </tableColumn>
    <tableColumn id="4" xr3:uid="{7B43B7BC-5EB2-42F9-B67D-52C62B94DBC2}" name="Diferença" totalsRowFunction="custom" dataDxfId="171" totalsRowDxfId="170">
      <calculatedColumnFormula>Lazer101173[[#This Row],[Orçado]]-Lazer101173[[#This Row],[Real]]</calculatedColumnFormula>
      <totalsRowFormula>SUM(Lazer101173[Diferença])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967B6FCB-A8A4-49E0-B4F3-6E60F0180731}" name="Moradia102174" displayName="Moradia102174" ref="A17:D25" totalsRowCount="1" headerRowDxfId="169" dataDxfId="167" totalsRowDxfId="165" headerRowBorderDxfId="168" tableBorderDxfId="166" totalsRowBorderDxfId="164">
  <tableColumns count="4">
    <tableColumn id="1" xr3:uid="{99352CF8-849E-481B-91DE-18604D67D2A6}" name="[" totalsRowLabel="Subtotal" dataDxfId="163" totalsRowDxfId="162"/>
    <tableColumn id="2" xr3:uid="{ED8FE56E-3954-4070-96D0-78A3328C7F3E}" name="Orçado" totalsRowFunction="custom" dataDxfId="161" totalsRowDxfId="160">
      <totalsRowFormula>SUM(Moradia102174[Orçado])</totalsRowFormula>
    </tableColumn>
    <tableColumn id="3" xr3:uid="{5FCC0D94-DEBD-4EBE-8989-D74357662092}" name="Real" totalsRowFunction="custom" dataDxfId="159" totalsRowDxfId="158">
      <totalsRowFormula>SUM(Moradia102174[Real])</totalsRowFormula>
    </tableColumn>
    <tableColumn id="4" xr3:uid="{B93642DF-B744-4892-AFCB-C57B335EDAC2}" name="Diferença" totalsRowFunction="custom" dataDxfId="157" totalsRowDxfId="156">
      <calculatedColumnFormula>Moradia102174[[#This Row],[Orçado]]-Moradia102174[[#This Row],[Real]]</calculatedColumnFormula>
      <totalsRowFormula>SUM(Moradia102174[Diferença])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E56D6780-9A41-4EBB-9D44-2EC933061C52}" name="Outros103175" displayName="Outros103175" ref="F50:I58" totalsRowCount="1" headerRowDxfId="155" dataDxfId="153" totalsRowDxfId="152" headerRowBorderDxfId="154" totalsRowBorderDxfId="151">
  <tableColumns count="4">
    <tableColumn id="1" xr3:uid="{A6655972-AD03-4109-A715-C5402864C83B}" name="0" totalsRowLabel="Subtotal" dataDxfId="150" totalsRowDxfId="149"/>
    <tableColumn id="2" xr3:uid="{1CA3A037-F7B5-4E1A-ABA1-4A8725137933}" name="Orçado" totalsRowFunction="custom" dataDxfId="148" totalsRowDxfId="147">
      <totalsRowFormula>SUM(Outros103175[Orçado])</totalsRowFormula>
    </tableColumn>
    <tableColumn id="3" xr3:uid="{DACDD889-1EEA-4A22-BBF9-F2F27F22417A}" name="Real" totalsRowFunction="custom" dataDxfId="146" totalsRowDxfId="145">
      <totalsRowFormula>SUM(Outros103175[Real])</totalsRowFormula>
    </tableColumn>
    <tableColumn id="4" xr3:uid="{51D28017-4B84-4B81-B6DD-5DC5B342716B}" name="Diferença" totalsRowFunction="custom" dataDxfId="144" totalsRowDxfId="143">
      <calculatedColumnFormula>Outros103175[[#This Row],[Orçado]]-Outros103175[[#This Row],[Real]]</calculatedColumnFormula>
      <totalsRowFormula>SUM(Outros103175[Diferença])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F5C734EB-DF90-4DA3-844F-E4CD16BB8BB7}" name="Investimentos104176" displayName="Investimentos104176" ref="A50:D58" totalsRowCount="1" headerRowDxfId="142" dataDxfId="140" totalsRowDxfId="139" headerRowBorderDxfId="141" totalsRowBorderDxfId="138">
  <tableColumns count="4">
    <tableColumn id="1" xr3:uid="{2519BC98-58D7-4827-8CEE-9643E728A0DC}" name="0" totalsRowLabel="Subtotal" dataDxfId="137" totalsRowDxfId="136"/>
    <tableColumn id="2" xr3:uid="{51425D91-D8CF-4E88-9552-9095E0AE0149}" name="Orçado" totalsRowFunction="custom" dataDxfId="135" totalsRowDxfId="134">
      <totalsRowFormula>SUM(Investimentos104176[Orçado])</totalsRowFormula>
    </tableColumn>
    <tableColumn id="3" xr3:uid="{4636472A-CF0B-4257-BE29-34790D341F22}" name="Real" totalsRowFunction="custom" dataDxfId="133" totalsRowDxfId="132">
      <totalsRowFormula>SUM(Investimentos104176[Real])</totalsRowFormula>
    </tableColumn>
    <tableColumn id="4" xr3:uid="{63F52094-F011-4B40-946B-EF6A526FFB23}" name="Diferença" totalsRowFunction="custom" dataDxfId="131" totalsRowDxfId="130">
      <calculatedColumnFormula>Investimentos104176[[#This Row],[Orçado]]-Investimentos104176[[#This Row],[Real]]</calculatedColumnFormula>
      <totalsRowFormula>SUM(Investimentos104176[Diferença])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E8929A85-80BA-4BA7-974C-84346C0CAAF0}" name="Transporte105177" displayName="Transporte105177" ref="F39:I47" totalsRowCount="1" headerRowDxfId="129" dataDxfId="127" totalsRowDxfId="125" headerRowBorderDxfId="128" tableBorderDxfId="126" totalsRowBorderDxfId="124">
  <tableColumns count="4">
    <tableColumn id="1" xr3:uid="{98A69ABB-CA04-4E3A-995C-3E9DBB126E77}" name="0" totalsRowLabel="Subtotal" dataDxfId="123" totalsRowDxfId="122"/>
    <tableColumn id="2" xr3:uid="{15804A02-50B6-4074-9CFB-7A0B03A9AEDE}" name="Orçado" totalsRowFunction="custom" dataDxfId="121" totalsRowDxfId="120">
      <totalsRowFormula>SUM(Transporte105177[Orçado])</totalsRowFormula>
    </tableColumn>
    <tableColumn id="3" xr3:uid="{DEBA2876-FA4B-4C42-B33F-16EB0A1FFD15}" name="Real" totalsRowFunction="custom" dataDxfId="119" totalsRowDxfId="118">
      <totalsRowFormula>SUM(Transporte105177[Real])</totalsRowFormula>
    </tableColumn>
    <tableColumn id="4" xr3:uid="{1D8F9E98-D080-4158-8A0F-00EA39D2C2B2}" name="Diferença" totalsRowFunction="custom" dataDxfId="117" totalsRowDxfId="116">
      <calculatedColumnFormula>Transporte105177[[#This Row],[Orçado]]-Transporte105177[[#This Row],[Real]]</calculatedColumnFormula>
      <totalsRowFormula>SUM(Transporte105177[Diferença])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4BBAC6EC-2169-423B-96A5-86684716303B}" name="Alimentação98178" displayName="Alimentação98178" ref="F28:I36" totalsRowCount="1" headerRowDxfId="109" dataDxfId="107" totalsRowDxfId="105" headerRowBorderDxfId="108" tableBorderDxfId="106" totalsRowBorderDxfId="104">
  <tableColumns count="4">
    <tableColumn id="1" xr3:uid="{F99E7552-750C-4085-BB84-1FBA33AD941D}" name="0" totalsRowLabel="Subtotal" dataDxfId="103" totalsRowDxfId="102"/>
    <tableColumn id="2" xr3:uid="{4DFDB40E-2B54-44B3-87E8-AF84FEA550CA}" name="Orçado" totalsRowFunction="custom" dataDxfId="101" totalsRowDxfId="100">
      <totalsRowFormula>SUM(Alimentação98178[Orçado])</totalsRowFormula>
    </tableColumn>
    <tableColumn id="3" xr3:uid="{F67552A9-2000-47BA-855A-BA5D5014340C}" name="Real" totalsRowFunction="custom" dataDxfId="99" totalsRowDxfId="98">
      <totalsRowFormula>SUM(Alimentação98178[Real])</totalsRowFormula>
    </tableColumn>
    <tableColumn id="4" xr3:uid="{7DD5EA50-938E-438B-AFAB-3AA60EEC72F4}" name="Diferença" totalsRowFunction="custom" dataDxfId="97" totalsRowDxfId="96">
      <calculatedColumnFormula>Alimentação98178[[#This Row],[Orçado]]-Alimentação98178[[#This Row],[Real]]</calculatedColumnFormula>
      <totalsRowFormula>SUM(Alimentação98178[Diferença])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F5AFD759-6113-461B-A710-48B3A139BA47}" name="Alimentação98" displayName="Alimentação98" ref="F28:I36" totalsRowCount="1" headerRowDxfId="1269" dataDxfId="1267" totalsRowDxfId="1265" headerRowBorderDxfId="1268" tableBorderDxfId="1266" totalsRowBorderDxfId="1264">
  <tableColumns count="4">
    <tableColumn id="1" xr3:uid="{FD7DF151-033C-44F4-A99C-0E63DAF66100}" name="0" totalsRowLabel="Subtotal" dataDxfId="1263" totalsRowDxfId="1262"/>
    <tableColumn id="2" xr3:uid="{24212915-E7A5-4AF8-96AB-2618244B781A}" name="Orçado" totalsRowFunction="custom" dataDxfId="1261" totalsRowDxfId="1260">
      <totalsRowFormula>SUM(Alimentação98[Orçado])</totalsRowFormula>
    </tableColumn>
    <tableColumn id="3" xr3:uid="{F277AD67-1FAB-4E98-9098-A513D7E6F197}" name="Real" totalsRowFunction="custom" dataDxfId="1259" totalsRowDxfId="1258">
      <totalsRowFormula>SUM(Alimentação98[Real])</totalsRowFormula>
    </tableColumn>
    <tableColumn id="4" xr3:uid="{7F9AB993-62A5-475B-A1DB-C44997AB722E}" name="Diferença" totalsRowFunction="custom" dataDxfId="1257" totalsRowDxfId="1256">
      <calculatedColumnFormula>Alimentação98[[#This Row],[Orçado]]-Alimentação98[[#This Row],[Real]]</calculatedColumnFormula>
      <totalsRowFormula>SUM(Alimentação98[Diferença])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26F3484F-2F4E-4908-84E8-C63E9B7AC7EB}" name="Saúde99179" displayName="Saúde99179" ref="A28:D36" totalsRowCount="1" headerRowDxfId="95" dataDxfId="93" totalsRowDxfId="91" headerRowBorderDxfId="94" tableBorderDxfId="92" totalsRowBorderDxfId="90">
  <tableColumns count="4">
    <tableColumn id="1" xr3:uid="{805FC419-15A5-4E84-931F-92DE0217146C}" name="0" totalsRowLabel="Subtotal" dataDxfId="89" totalsRowDxfId="88"/>
    <tableColumn id="2" xr3:uid="{3A9BFD30-26D0-4C7C-A98B-1FC8648DD27F}" name="Orçado" totalsRowFunction="custom" dataDxfId="87" totalsRowDxfId="86">
      <totalsRowFormula>SUM(Saúde99179[Orçado])</totalsRowFormula>
    </tableColumn>
    <tableColumn id="3" xr3:uid="{30DCB740-C33C-4621-B66A-9AFF4DDE71AE}" name="Real" totalsRowFunction="custom" dataDxfId="85" totalsRowDxfId="84">
      <totalsRowFormula>SUM(Saúde99179[Real])</totalsRowFormula>
    </tableColumn>
    <tableColumn id="4" xr3:uid="{8AE13F6C-2892-4133-951D-3DE969D4773A}" name="Diferença" totalsRowFunction="custom" dataDxfId="83" totalsRowDxfId="82">
      <calculatedColumnFormula>Saúde99179[[#This Row],[Orçado]]-Saúde99179[[#This Row],[Real]]</calculatedColumnFormula>
      <totalsRowFormula>SUM(Saúde99179[Diferença])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F5600716-48DB-43AC-98B2-6A9B9173AA37}" name="Pessoaleducacao100180" displayName="Pessoaleducacao100180" ref="A39:D47" totalsRowCount="1" headerRowDxfId="81" dataDxfId="79" totalsRowDxfId="77" headerRowBorderDxfId="80" tableBorderDxfId="78" totalsRowBorderDxfId="76">
  <tableColumns count="4">
    <tableColumn id="1" xr3:uid="{B568AF9F-D48F-427C-BD69-CCB616DD4E6E}" name="0" totalsRowLabel="Subtotal" dataDxfId="75" totalsRowDxfId="74"/>
    <tableColumn id="2" xr3:uid="{59E0F4B7-9542-4DE8-91A1-19A89D9E5234}" name="Orçado" totalsRowFunction="custom" dataDxfId="73" totalsRowDxfId="72">
      <totalsRowFormula>SUM(Pessoaleducacao100180[Orçado])</totalsRowFormula>
    </tableColumn>
    <tableColumn id="3" xr3:uid="{00E41EE4-C9D6-484D-A4BE-CCA61D36AD8E}" name="Real" totalsRowFunction="custom" dataDxfId="71" totalsRowDxfId="70">
      <totalsRowFormula>SUM(Pessoaleducacao100180[Real])</totalsRowFormula>
    </tableColumn>
    <tableColumn id="4" xr3:uid="{6471A03E-EE40-42FE-9AEF-6FB1489C69AE}" name="Diferença" totalsRowFunction="custom" dataDxfId="69" totalsRowDxfId="68">
      <calculatedColumnFormula>Pessoaleducacao100180[[#This Row],[Orçado]]-Pessoaleducacao100180[[#This Row],[Real]]</calculatedColumnFormula>
      <totalsRowFormula>SUM(Pessoaleducacao100180[Diferença])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seguro nesta tabela. A diferença é calculada automaticamente"/>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B75D3B62-FDC5-47C8-A066-397643D5E954}" name="Lazer101181" displayName="Lazer101181" ref="F17:I25" totalsRowCount="1" headerRowDxfId="67" dataDxfId="65" totalsRowDxfId="63" headerRowBorderDxfId="66" tableBorderDxfId="64" totalsRowBorderDxfId="62">
  <tableColumns count="4">
    <tableColumn id="1" xr3:uid="{C18EC1CE-7552-40A4-BDDD-2D7E83A742D0}" name="0" totalsRowLabel="Subtotal" dataDxfId="61" totalsRowDxfId="60"/>
    <tableColumn id="2" xr3:uid="{67B6B874-3A25-4F54-842C-26382BE03000}" name="Orçado" totalsRowFunction="custom" dataDxfId="59" totalsRowDxfId="58">
      <totalsRowFormula>SUM(Lazer101181[Orçado])</totalsRowFormula>
    </tableColumn>
    <tableColumn id="3" xr3:uid="{53719F51-93FA-4210-A5C7-14CC41D963BF}" name="Real" totalsRowFunction="custom" dataDxfId="57" totalsRowDxfId="56">
      <totalsRowFormula>SUM(Lazer101181[Real])</totalsRowFormula>
    </tableColumn>
    <tableColumn id="4" xr3:uid="{F4667D67-9C97-4BAB-B2D3-F1C6145D2668}" name="Diferença" totalsRowFunction="custom" dataDxfId="55" totalsRowDxfId="54">
      <calculatedColumnFormula>Lazer101181[[#This Row],[Orçado]]-Lazer101181[[#This Row],[Real]]</calculatedColumnFormula>
      <totalsRowFormula>SUM(Lazer101181[Diferença])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D13A589C-D84D-4373-845D-DC6038847B31}" name="Moradia102182" displayName="Moradia102182" ref="A17:D25" totalsRowCount="1" headerRowDxfId="53" dataDxfId="51" totalsRowDxfId="49" headerRowBorderDxfId="52" tableBorderDxfId="50" totalsRowBorderDxfId="48">
  <tableColumns count="4">
    <tableColumn id="1" xr3:uid="{DAA251D6-5978-4E74-9C9E-8BFCEB9646F2}" name="[" totalsRowLabel="Subtotal" dataDxfId="47" totalsRowDxfId="46"/>
    <tableColumn id="2" xr3:uid="{3BCE1DEE-3296-47B4-BDF6-4ED7789E3086}" name="Orçado" totalsRowFunction="custom" dataDxfId="45" totalsRowDxfId="44">
      <totalsRowFormula>SUM(Moradia102182[Orçado])</totalsRowFormula>
    </tableColumn>
    <tableColumn id="3" xr3:uid="{51F4840B-D1FA-4F89-AD07-290CF3AC8D26}" name="Real" totalsRowFunction="custom" dataDxfId="43" totalsRowDxfId="42">
      <totalsRowFormula>SUM(Moradia102182[Real])</totalsRowFormula>
    </tableColumn>
    <tableColumn id="4" xr3:uid="{E7B2F41F-D77D-4D36-82DA-0117CD29D97E}" name="Diferença" totalsRowFunction="custom" dataDxfId="41" totalsRowDxfId="40">
      <calculatedColumnFormula>Moradia102182[[#This Row],[Orçado]]-Moradia102182[[#This Row],[Real]]</calculatedColumnFormula>
      <totalsRowFormula>SUM(Moradia102182[Diferença])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transporte nesta tabela. A diferença é calculada automaticamente"/>
    </ext>
  </extLst>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E9BBFFC8-1AE2-4A41-AA68-C23B3AD29188}" name="Outros103183" displayName="Outros103183" ref="F50:I58" totalsRowCount="1" headerRowDxfId="39" dataDxfId="37" totalsRowDxfId="36" headerRowBorderDxfId="38" totalsRowBorderDxfId="35">
  <tableColumns count="4">
    <tableColumn id="1" xr3:uid="{D01AB695-A959-454A-8843-88DB07946D0F}" name="0" totalsRowLabel="Subtotal" dataDxfId="34" totalsRowDxfId="33"/>
    <tableColumn id="2" xr3:uid="{E4AED32E-5BEE-44C4-8CA0-5967227820D2}" name="Orçado" totalsRowFunction="custom" dataDxfId="32" totalsRowDxfId="31">
      <totalsRowFormula>SUM(Outros103183[Orçado])</totalsRowFormula>
    </tableColumn>
    <tableColumn id="3" xr3:uid="{5DFC74F5-3FFE-489D-A4C8-021D915A95BE}" name="Real" totalsRowFunction="custom" dataDxfId="30" totalsRowDxfId="29">
      <totalsRowFormula>SUM(Outros103183[Real])</totalsRowFormula>
    </tableColumn>
    <tableColumn id="4" xr3:uid="{E2919716-F1B2-4589-8AC2-16C328CF57BA}" name="Diferença" totalsRowFunction="custom" dataDxfId="28" totalsRowDxfId="27">
      <calculatedColumnFormula>Outros103183[[#This Row],[Orçado]]-Outros103183[[#This Row],[Real]]</calculatedColumnFormula>
      <totalsRowFormula>SUM(Outros103183[Diferença])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A28343B8-A5E2-4D5E-ABAE-3E9C0A83BB80}" name="Investimentos104184" displayName="Investimentos104184" ref="A50:D58" totalsRowCount="1" headerRowDxfId="26" dataDxfId="24" totalsRowDxfId="23" headerRowBorderDxfId="25" totalsRowBorderDxfId="22">
  <tableColumns count="4">
    <tableColumn id="1" xr3:uid="{3AD82B98-2399-4949-B91C-3785453A130B}" name="0" totalsRowLabel="Subtotal" dataDxfId="21" totalsRowDxfId="20"/>
    <tableColumn id="2" xr3:uid="{7D1526BF-0393-411C-AB20-04A59AE06D67}" name="Orçado" totalsRowFunction="custom" dataDxfId="19" totalsRowDxfId="18">
      <totalsRowFormula>SUM(Investimentos104184[Orçado])</totalsRowFormula>
    </tableColumn>
    <tableColumn id="3" xr3:uid="{AA1F9E12-D9DF-4DAB-8358-27AD4FAD9698}" name="Real" totalsRowFunction="custom" dataDxfId="17" totalsRowDxfId="16">
      <totalsRowFormula>SUM(Investimentos104184[Real])</totalsRowFormula>
    </tableColumn>
    <tableColumn id="4" xr3:uid="{588E240D-594B-448F-9A97-66D5897C44E0}" name="Diferença" totalsRowFunction="custom" dataDxfId="15" totalsRowDxfId="14">
      <calculatedColumnFormula>Investimentos104184[[#This Row],[Orçado]]-Investimentos104184[[#This Row],[Real]]</calculatedColumnFormula>
      <totalsRowFormula>SUM(Investimentos104184[Diferença])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a poupança ou investimentos nesta tabela. A diferença é calculada automaticamente"/>
    </ext>
  </extLst>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6C64F6B6-78A5-4663-AF85-FD9D2689AEA0}" name="Transporte105185" displayName="Transporte105185" ref="F39:I47" totalsRowCount="1" headerRowDxfId="13" dataDxfId="11" totalsRowDxfId="9" headerRowBorderDxfId="12" tableBorderDxfId="10" totalsRowBorderDxfId="8">
  <tableColumns count="4">
    <tableColumn id="1" xr3:uid="{87573659-FD9F-4656-8899-AE5428F94C57}" name="0" totalsRowLabel="Subtotal" dataDxfId="7" totalsRowDxfId="6"/>
    <tableColumn id="2" xr3:uid="{6BEB7E03-F1E4-4A85-9D42-293892EB855B}" name="Orçado" totalsRowFunction="custom" dataDxfId="5" totalsRowDxfId="4">
      <totalsRowFormula>SUM(Transporte105185[Orçado])</totalsRowFormula>
    </tableColumn>
    <tableColumn id="3" xr3:uid="{9D5AAB68-5456-4094-92DA-F5D9CD38B051}" name="Real" totalsRowFunction="custom" dataDxfId="3" totalsRowDxfId="2">
      <totalsRowFormula>SUM(Transporte105185[Real])</totalsRowFormula>
    </tableColumn>
    <tableColumn id="4" xr3:uid="{1FE6A055-195E-4C00-9C52-C3136CA7E9D6}" name="Diferença" totalsRowFunction="custom" dataDxfId="1" totalsRowDxfId="0">
      <calculatedColumnFormula>Transporte105185[[#This Row],[Orçado]]-Transporte105185[[#This Row],[Real]]</calculatedColumnFormula>
      <totalsRowFormula>SUM(Transporte105185[Diferença])</totalsRowFormula>
    </tableColumn>
  </tableColumns>
  <tableStyleInfo name="Catálogo de endereços" showFirstColumn="1" showLastColumn="1" showRowStripes="1" showColumnStripes="0"/>
  <extLst>
    <ext xmlns:x14="http://schemas.microsoft.com/office/spreadsheetml/2009/9/main" uri="{504A1905-F514-4f6f-8877-14C23A59335A}">
      <x14:table altTextSummary="Insira os Custos reais e projetados de empréstimo nesta tabela. A diferença é calculada automaticamen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3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70.xml"/><Relationship Id="rId3" Type="http://schemas.openxmlformats.org/officeDocument/2006/relationships/table" Target="../tables/table65.xml"/><Relationship Id="rId7" Type="http://schemas.openxmlformats.org/officeDocument/2006/relationships/table" Target="../tables/table69.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68.xml"/><Relationship Id="rId5" Type="http://schemas.openxmlformats.org/officeDocument/2006/relationships/table" Target="../tables/table67.xml"/><Relationship Id="rId10" Type="http://schemas.openxmlformats.org/officeDocument/2006/relationships/table" Target="../tables/table72.xml"/><Relationship Id="rId4" Type="http://schemas.openxmlformats.org/officeDocument/2006/relationships/table" Target="../tables/table66.xml"/><Relationship Id="rId9" Type="http://schemas.openxmlformats.org/officeDocument/2006/relationships/table" Target="../tables/table71.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78.xml"/><Relationship Id="rId3" Type="http://schemas.openxmlformats.org/officeDocument/2006/relationships/table" Target="../tables/table73.xml"/><Relationship Id="rId7" Type="http://schemas.openxmlformats.org/officeDocument/2006/relationships/table" Target="../tables/table77.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76.xml"/><Relationship Id="rId5" Type="http://schemas.openxmlformats.org/officeDocument/2006/relationships/table" Target="../tables/table75.xml"/><Relationship Id="rId10" Type="http://schemas.openxmlformats.org/officeDocument/2006/relationships/table" Target="../tables/table80.xml"/><Relationship Id="rId4" Type="http://schemas.openxmlformats.org/officeDocument/2006/relationships/table" Target="../tables/table74.xml"/><Relationship Id="rId9" Type="http://schemas.openxmlformats.org/officeDocument/2006/relationships/table" Target="../tables/table79.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86.xml"/><Relationship Id="rId3" Type="http://schemas.openxmlformats.org/officeDocument/2006/relationships/table" Target="../tables/table81.xml"/><Relationship Id="rId7" Type="http://schemas.openxmlformats.org/officeDocument/2006/relationships/table" Target="../tables/table85.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table" Target="../tables/table84.xml"/><Relationship Id="rId5" Type="http://schemas.openxmlformats.org/officeDocument/2006/relationships/table" Target="../tables/table83.xml"/><Relationship Id="rId10" Type="http://schemas.openxmlformats.org/officeDocument/2006/relationships/table" Target="../tables/table88.xml"/><Relationship Id="rId4" Type="http://schemas.openxmlformats.org/officeDocument/2006/relationships/table" Target="../tables/table82.xml"/><Relationship Id="rId9" Type="http://schemas.openxmlformats.org/officeDocument/2006/relationships/table" Target="../tables/table87.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94.xml"/><Relationship Id="rId3" Type="http://schemas.openxmlformats.org/officeDocument/2006/relationships/table" Target="../tables/table89.xml"/><Relationship Id="rId7" Type="http://schemas.openxmlformats.org/officeDocument/2006/relationships/table" Target="../tables/table93.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table" Target="../tables/table92.xml"/><Relationship Id="rId5" Type="http://schemas.openxmlformats.org/officeDocument/2006/relationships/table" Target="../tables/table91.xml"/><Relationship Id="rId10" Type="http://schemas.openxmlformats.org/officeDocument/2006/relationships/table" Target="../tables/table96.xml"/><Relationship Id="rId4" Type="http://schemas.openxmlformats.org/officeDocument/2006/relationships/table" Target="../tables/table90.xml"/><Relationship Id="rId9" Type="http://schemas.openxmlformats.org/officeDocument/2006/relationships/table" Target="../tables/table9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2.xml"/><Relationship Id="rId5" Type="http://schemas.openxmlformats.org/officeDocument/2006/relationships/table" Target="../tables/table11.xml"/><Relationship Id="rId10" Type="http://schemas.openxmlformats.org/officeDocument/2006/relationships/table" Target="../tables/table16.xml"/><Relationship Id="rId4" Type="http://schemas.openxmlformats.org/officeDocument/2006/relationships/table" Target="../tables/table10.xml"/><Relationship Id="rId9"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8" Type="http://schemas.openxmlformats.org/officeDocument/2006/relationships/table" Target="../tables/table22.xml"/><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20.xml"/><Relationship Id="rId5" Type="http://schemas.openxmlformats.org/officeDocument/2006/relationships/table" Target="../tables/table19.xml"/><Relationship Id="rId10" Type="http://schemas.openxmlformats.org/officeDocument/2006/relationships/table" Target="../tables/table24.xml"/><Relationship Id="rId4" Type="http://schemas.openxmlformats.org/officeDocument/2006/relationships/table" Target="../tables/table18.xml"/><Relationship Id="rId9" Type="http://schemas.openxmlformats.org/officeDocument/2006/relationships/table" Target="../tables/table23.xml"/></Relationships>
</file>

<file path=xl/worksheets/_rels/sheet5.xml.rels><?xml version="1.0" encoding="UTF-8" standalone="yes"?>
<Relationships xmlns="http://schemas.openxmlformats.org/package/2006/relationships"><Relationship Id="rId8" Type="http://schemas.openxmlformats.org/officeDocument/2006/relationships/table" Target="../tables/table30.xml"/><Relationship Id="rId3" Type="http://schemas.openxmlformats.org/officeDocument/2006/relationships/table" Target="../tables/table25.xml"/><Relationship Id="rId7" Type="http://schemas.openxmlformats.org/officeDocument/2006/relationships/table" Target="../tables/table2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28.xml"/><Relationship Id="rId5" Type="http://schemas.openxmlformats.org/officeDocument/2006/relationships/table" Target="../tables/table27.xml"/><Relationship Id="rId10" Type="http://schemas.openxmlformats.org/officeDocument/2006/relationships/table" Target="../tables/table32.xml"/><Relationship Id="rId4" Type="http://schemas.openxmlformats.org/officeDocument/2006/relationships/table" Target="../tables/table26.xml"/><Relationship Id="rId9" Type="http://schemas.openxmlformats.org/officeDocument/2006/relationships/table" Target="../tables/table31.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8.xml"/><Relationship Id="rId3" Type="http://schemas.openxmlformats.org/officeDocument/2006/relationships/table" Target="../tables/table33.xml"/><Relationship Id="rId7" Type="http://schemas.openxmlformats.org/officeDocument/2006/relationships/table" Target="../tables/table37.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36.xml"/><Relationship Id="rId5" Type="http://schemas.openxmlformats.org/officeDocument/2006/relationships/table" Target="../tables/table35.xml"/><Relationship Id="rId10" Type="http://schemas.openxmlformats.org/officeDocument/2006/relationships/table" Target="../tables/table40.xml"/><Relationship Id="rId4" Type="http://schemas.openxmlformats.org/officeDocument/2006/relationships/table" Target="../tables/table34.xml"/><Relationship Id="rId9" Type="http://schemas.openxmlformats.org/officeDocument/2006/relationships/table" Target="../tables/table39.xml"/></Relationships>
</file>

<file path=xl/worksheets/_rels/sheet7.xml.rels><?xml version="1.0" encoding="UTF-8" standalone="yes"?>
<Relationships xmlns="http://schemas.openxmlformats.org/package/2006/relationships"><Relationship Id="rId8" Type="http://schemas.openxmlformats.org/officeDocument/2006/relationships/table" Target="../tables/table46.xml"/><Relationship Id="rId3" Type="http://schemas.openxmlformats.org/officeDocument/2006/relationships/table" Target="../tables/table41.xml"/><Relationship Id="rId7" Type="http://schemas.openxmlformats.org/officeDocument/2006/relationships/table" Target="../tables/table4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44.xml"/><Relationship Id="rId5" Type="http://schemas.openxmlformats.org/officeDocument/2006/relationships/table" Target="../tables/table43.xml"/><Relationship Id="rId10" Type="http://schemas.openxmlformats.org/officeDocument/2006/relationships/table" Target="../tables/table48.xml"/><Relationship Id="rId4" Type="http://schemas.openxmlformats.org/officeDocument/2006/relationships/table" Target="../tables/table42.xml"/><Relationship Id="rId9" Type="http://schemas.openxmlformats.org/officeDocument/2006/relationships/table" Target="../tables/table47.xml"/></Relationships>
</file>

<file path=xl/worksheets/_rels/sheet8.xml.rels><?xml version="1.0" encoding="UTF-8" standalone="yes"?>
<Relationships xmlns="http://schemas.openxmlformats.org/package/2006/relationships"><Relationship Id="rId8" Type="http://schemas.openxmlformats.org/officeDocument/2006/relationships/table" Target="../tables/table54.xml"/><Relationship Id="rId3" Type="http://schemas.openxmlformats.org/officeDocument/2006/relationships/table" Target="../tables/table49.xml"/><Relationship Id="rId7" Type="http://schemas.openxmlformats.org/officeDocument/2006/relationships/table" Target="../tables/table53.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52.xml"/><Relationship Id="rId5" Type="http://schemas.openxmlformats.org/officeDocument/2006/relationships/table" Target="../tables/table51.xml"/><Relationship Id="rId10" Type="http://schemas.openxmlformats.org/officeDocument/2006/relationships/table" Target="../tables/table56.xml"/><Relationship Id="rId4" Type="http://schemas.openxmlformats.org/officeDocument/2006/relationships/table" Target="../tables/table50.xml"/><Relationship Id="rId9" Type="http://schemas.openxmlformats.org/officeDocument/2006/relationships/table" Target="../tables/table5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62.xml"/><Relationship Id="rId3" Type="http://schemas.openxmlformats.org/officeDocument/2006/relationships/table" Target="../tables/table57.xml"/><Relationship Id="rId7" Type="http://schemas.openxmlformats.org/officeDocument/2006/relationships/table" Target="../tables/table61.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60.xml"/><Relationship Id="rId5" Type="http://schemas.openxmlformats.org/officeDocument/2006/relationships/table" Target="../tables/table59.xml"/><Relationship Id="rId10" Type="http://schemas.openxmlformats.org/officeDocument/2006/relationships/table" Target="../tables/table64.xml"/><Relationship Id="rId4" Type="http://schemas.openxmlformats.org/officeDocument/2006/relationships/table" Target="../tables/table58.xml"/><Relationship Id="rId9" Type="http://schemas.openxmlformats.org/officeDocument/2006/relationships/table" Target="../tables/table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5" tint="0.59999389629810485"/>
  </sheetPr>
  <dimension ref="A1:A9"/>
  <sheetViews>
    <sheetView showGridLines="0" tabSelected="1" zoomScaleNormal="100" workbookViewId="0"/>
  </sheetViews>
  <sheetFormatPr defaultColWidth="8.88671875" defaultRowHeight="13.8" x14ac:dyDescent="0.3"/>
  <cols>
    <col min="1" max="1" width="100.6640625" style="2" customWidth="1"/>
    <col min="2" max="2" width="2.6640625" style="2" customWidth="1"/>
    <col min="3" max="16384" width="8.88671875" style="2"/>
  </cols>
  <sheetData>
    <row r="1" spans="1:1" ht="19.95" customHeight="1" x14ac:dyDescent="0.3">
      <c r="A1" s="15"/>
    </row>
    <row r="2" spans="1:1" s="3" customFormat="1" ht="81.599999999999994" customHeight="1" x14ac:dyDescent="0.3">
      <c r="A2" s="80"/>
    </row>
    <row r="3" spans="1:1" ht="139.80000000000001" customHeight="1" x14ac:dyDescent="0.35">
      <c r="A3" s="81" t="s">
        <v>51</v>
      </c>
    </row>
    <row r="4" spans="1:1" ht="66" customHeight="1" x14ac:dyDescent="0.3">
      <c r="A4" s="82" t="s">
        <v>53</v>
      </c>
    </row>
    <row r="5" spans="1:1" ht="68.400000000000006" customHeight="1" x14ac:dyDescent="0.3">
      <c r="A5" s="82" t="s">
        <v>52</v>
      </c>
    </row>
    <row r="6" spans="1:1" ht="34.950000000000003" customHeight="1" x14ac:dyDescent="0.35">
      <c r="A6" s="83" t="s">
        <v>54</v>
      </c>
    </row>
    <row r="7" spans="1:1" ht="15.6" x14ac:dyDescent="0.3">
      <c r="A7" s="1"/>
    </row>
    <row r="8" spans="1:1" ht="10.199999999999999" customHeight="1" x14ac:dyDescent="0.3">
      <c r="A8" s="1"/>
    </row>
    <row r="9" spans="1:1" ht="15.6" x14ac:dyDescent="0.3">
      <c r="A9" s="1"/>
    </row>
  </sheetData>
  <sheetProtection algorithmName="SHA-512" hashValue="Nb4ALXsELYmhb9KWd2vCD5Zb8IdC+hExcCOaqzgnCq1PLwboil4xJBX7tQCXC8omZFQJHu/TOS1oipNmbLGk1w==" saltValue="p1Sey0Wnfp5pZmL/I+DsMQ==" spinCount="100000" sheet="1" objects="1" scenarios="1" selectLockedCells="1"/>
  <pageMargins left="0.7" right="0.7" top="0.75" bottom="0.75" header="0.3" footer="0.3"/>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37AF4-D0F3-41E2-A160-EDD335498FA8}">
  <sheetPr>
    <tabColor theme="5"/>
    <pageSetUpPr autoPageBreaks="0" fitToPage="1"/>
  </sheetPr>
  <dimension ref="A1:Q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7" s="13" customFormat="1" ht="19.95" customHeight="1" x14ac:dyDescent="0.45">
      <c r="A1" s="12">
        <f ca="1">NOW()</f>
        <v>44791.47886412037</v>
      </c>
    </row>
    <row r="2" spans="1:17" s="13" customFormat="1" ht="94.8" customHeight="1" x14ac:dyDescent="0.3">
      <c r="A2" s="92" t="s">
        <v>65</v>
      </c>
      <c r="B2" s="92"/>
      <c r="C2" s="92"/>
      <c r="D2" s="92"/>
      <c r="E2" s="92"/>
      <c r="F2" s="92"/>
      <c r="G2" s="92"/>
      <c r="H2" s="84"/>
      <c r="I2" s="85"/>
      <c r="J2" s="77"/>
      <c r="K2" s="77"/>
      <c r="L2" s="77"/>
    </row>
    <row r="3" spans="1:17" s="15" customFormat="1" ht="15" customHeight="1" x14ac:dyDescent="0.3"/>
    <row r="4" spans="1:17"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row>
    <row r="5" spans="1:17" s="15" customFormat="1" ht="15.6" customHeight="1" x14ac:dyDescent="0.3">
      <c r="A5" s="6" t="s">
        <v>12</v>
      </c>
      <c r="B5" s="7">
        <v>100</v>
      </c>
      <c r="H5" s="91"/>
      <c r="I5" s="91"/>
      <c r="K5" s="76" t="str">
        <f>IF(I8&gt;0,"Parabéns! Invista na Mais Previdência", IF(I8&lt;0,"Atenção! Cuidado com sua saúde financeira.",""))</f>
        <v/>
      </c>
      <c r="L5" s="76"/>
    </row>
    <row r="6" spans="1:17" s="15" customFormat="1" ht="15.6" customHeight="1" x14ac:dyDescent="0.3">
      <c r="A6" s="8" t="s">
        <v>0</v>
      </c>
      <c r="B6" s="9">
        <v>10</v>
      </c>
      <c r="D6" s="93" t="s">
        <v>49</v>
      </c>
      <c r="E6" s="93"/>
      <c r="F6" s="88">
        <f>B9-B12</f>
        <v>220</v>
      </c>
      <c r="H6" s="91"/>
      <c r="I6" s="91"/>
      <c r="J6" s="62"/>
      <c r="K6" s="76"/>
      <c r="L6" s="76"/>
    </row>
    <row r="7" spans="1:17" s="15" customFormat="1" ht="15.6" customHeight="1" x14ac:dyDescent="0.3">
      <c r="A7" s="8" t="s">
        <v>13</v>
      </c>
      <c r="B7" s="9">
        <v>10</v>
      </c>
      <c r="D7" s="93"/>
      <c r="E7" s="93"/>
      <c r="F7" s="88"/>
      <c r="H7" s="91"/>
      <c r="I7" s="91"/>
      <c r="J7" s="62"/>
      <c r="K7" s="76"/>
      <c r="L7" s="76"/>
    </row>
    <row r="8" spans="1:17" s="15" customFormat="1" ht="15.6" customHeight="1" x14ac:dyDescent="0.3">
      <c r="A8" s="8" t="s">
        <v>14</v>
      </c>
      <c r="B8" s="9">
        <v>100</v>
      </c>
      <c r="D8" s="94" t="s">
        <v>50</v>
      </c>
      <c r="E8" s="94"/>
      <c r="F8" s="95">
        <f>B9-B13</f>
        <v>220</v>
      </c>
      <c r="H8" s="91"/>
      <c r="I8" s="91"/>
      <c r="J8" s="62"/>
      <c r="K8" s="76"/>
      <c r="L8" s="76"/>
    </row>
    <row r="9" spans="1:17" s="15" customFormat="1" ht="18" customHeight="1" x14ac:dyDescent="0.3">
      <c r="A9" s="10" t="s">
        <v>1</v>
      </c>
      <c r="B9" s="11">
        <f>SUM(B5:B8)</f>
        <v>220</v>
      </c>
      <c r="D9" s="94"/>
      <c r="E9" s="94"/>
      <c r="F9" s="95"/>
      <c r="G9" s="60"/>
      <c r="H9" s="91"/>
      <c r="I9" s="91"/>
      <c r="J9" s="62"/>
      <c r="K9" s="76"/>
      <c r="L9" s="76"/>
    </row>
    <row r="10" spans="1:17" s="15" customFormat="1" ht="30" customHeight="1" x14ac:dyDescent="0.3">
      <c r="A10" s="5"/>
      <c r="B10" s="5"/>
      <c r="D10" s="61"/>
      <c r="E10" s="61"/>
      <c r="F10" s="61"/>
      <c r="G10" s="60"/>
      <c r="H10" s="91"/>
      <c r="I10" s="91"/>
      <c r="J10" s="17"/>
      <c r="K10" s="76"/>
      <c r="L10" s="76"/>
    </row>
    <row r="11" spans="1:17" s="15" customFormat="1" ht="30" customHeight="1" x14ac:dyDescent="0.3">
      <c r="A11" s="86" t="s">
        <v>48</v>
      </c>
      <c r="B11" s="87"/>
      <c r="C11" s="16"/>
      <c r="D11" s="61"/>
      <c r="E11" s="61"/>
      <c r="F11" s="61"/>
      <c r="G11" s="60"/>
      <c r="I11" s="79"/>
      <c r="J11" s="79"/>
      <c r="K11" s="79"/>
      <c r="L11" s="79"/>
    </row>
    <row r="12" spans="1:17" s="15" customFormat="1" ht="15.6" customHeight="1" x14ac:dyDescent="0.3">
      <c r="A12" s="73" t="s">
        <v>16</v>
      </c>
      <c r="B12" s="72">
        <f>SUM(Moradia102158[Orçado],Lazer101157[Orçado],Saúde99155[Orçado],Alimentação98154[Orçado],Pessoaleducacao100156[Orçado],Transporte105161[Orçado],Investimentos104160[Orçado],Outros103159[Orçado])</f>
        <v>0</v>
      </c>
      <c r="D12" s="100"/>
      <c r="E12" s="100"/>
      <c r="F12" s="100"/>
      <c r="G12" s="89"/>
      <c r="H12" s="79"/>
      <c r="I12" s="79"/>
      <c r="J12" s="79"/>
      <c r="K12" s="79"/>
      <c r="L12" s="79"/>
    </row>
    <row r="13" spans="1:17" s="15" customFormat="1" ht="15.6" customHeight="1" x14ac:dyDescent="0.3">
      <c r="A13" s="74" t="s">
        <v>17</v>
      </c>
      <c r="B13" s="69">
        <f>SUM(Moradia102158[Real],Lazer101157[Real],Saúde99155[Real],Alimentação98154[Real],Pessoaleducacao100156[Real],Transporte105161[Real],Investimentos104160[Real],Outros103159[Real])</f>
        <v>0</v>
      </c>
      <c r="D13" s="100"/>
      <c r="E13" s="100"/>
      <c r="F13" s="100"/>
      <c r="G13" s="89"/>
      <c r="H13" s="84" t="s">
        <v>68</v>
      </c>
      <c r="I13" s="84"/>
      <c r="J13" s="79"/>
      <c r="K13" s="79"/>
      <c r="L13" s="79"/>
    </row>
    <row r="14" spans="1:17" s="15" customFormat="1" ht="18" x14ac:dyDescent="0.3">
      <c r="A14" s="70" t="s">
        <v>10</v>
      </c>
      <c r="B14" s="63">
        <f>B12-B13</f>
        <v>0</v>
      </c>
      <c r="C14" s="71" t="str">
        <f>IF(B14&gt;0,"Você está dentro do orçamento", IF(B14&lt;0,"Você está fora do orçamento",""))</f>
        <v/>
      </c>
      <c r="H14" s="84"/>
      <c r="I14" s="84"/>
    </row>
    <row r="15" spans="1:17" ht="37.799999999999997" customHeight="1" x14ac:dyDescent="0.3">
      <c r="A15" s="18"/>
      <c r="B15" s="19"/>
      <c r="H15" s="84"/>
      <c r="I15" s="84"/>
    </row>
    <row r="16" spans="1:17" ht="30" customHeight="1" x14ac:dyDescent="0.3">
      <c r="A16" s="101" t="s">
        <v>2</v>
      </c>
      <c r="B16" s="101"/>
      <c r="C16" s="101"/>
      <c r="D16" s="101"/>
      <c r="E16" s="20"/>
      <c r="F16" s="75"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Moradia102158[[#This Row],[Orçado]]-Moradia102158[[#This Row],[Real]]</f>
        <v>0</v>
      </c>
      <c r="E18" s="27"/>
      <c r="F18" s="25" t="s">
        <v>26</v>
      </c>
      <c r="G18" s="26"/>
      <c r="H18" s="26"/>
      <c r="I18" s="69">
        <f>Lazer101157[[#This Row],[Orçado]]-Lazer101157[[#This Row],[Real]]</f>
        <v>0</v>
      </c>
      <c r="M18" s="78"/>
      <c r="N18" s="78"/>
      <c r="O18" s="78"/>
      <c r="P18" s="78"/>
      <c r="Q18" s="78"/>
    </row>
    <row r="19" spans="1:17" ht="15.6" x14ac:dyDescent="0.3">
      <c r="A19" s="25" t="s">
        <v>22</v>
      </c>
      <c r="B19" s="26"/>
      <c r="C19" s="26"/>
      <c r="D19" s="69">
        <f>Moradia102158[[#This Row],[Orçado]]-Moradia102158[[#This Row],[Real]]</f>
        <v>0</v>
      </c>
      <c r="E19" s="28"/>
      <c r="F19" s="25" t="s">
        <v>27</v>
      </c>
      <c r="G19" s="26"/>
      <c r="H19" s="26"/>
      <c r="I19" s="69">
        <f>Lazer101157[[#This Row],[Orçado]]-Lazer101157[[#This Row],[Real]]</f>
        <v>0</v>
      </c>
      <c r="M19" s="78"/>
      <c r="N19" s="78"/>
      <c r="O19" s="78"/>
      <c r="P19" s="78"/>
      <c r="Q19" s="78"/>
    </row>
    <row r="20" spans="1:17" ht="15.6" x14ac:dyDescent="0.3">
      <c r="A20" s="25" t="s">
        <v>23</v>
      </c>
      <c r="B20" s="26"/>
      <c r="C20" s="26"/>
      <c r="D20" s="69">
        <f>Moradia102158[[#This Row],[Orçado]]-Moradia102158[[#This Row],[Real]]</f>
        <v>0</v>
      </c>
      <c r="E20" s="28"/>
      <c r="F20" s="25" t="s">
        <v>34</v>
      </c>
      <c r="G20" s="26"/>
      <c r="H20" s="26"/>
      <c r="I20" s="69">
        <f>Lazer101157[[#This Row],[Orçado]]-Lazer101157[[#This Row],[Real]]</f>
        <v>0</v>
      </c>
      <c r="M20" s="78"/>
      <c r="N20" s="78"/>
      <c r="O20" s="78"/>
      <c r="P20" s="78"/>
      <c r="Q20" s="78"/>
    </row>
    <row r="21" spans="1:17" ht="15.6" x14ac:dyDescent="0.3">
      <c r="A21" s="25" t="s">
        <v>24</v>
      </c>
      <c r="B21" s="26"/>
      <c r="C21" s="26"/>
      <c r="D21" s="69">
        <f>Moradia102158[[#This Row],[Orçado]]-Moradia102158[[#This Row],[Real]]</f>
        <v>0</v>
      </c>
      <c r="E21" s="28"/>
      <c r="F21" s="25"/>
      <c r="G21" s="26"/>
      <c r="H21" s="26"/>
      <c r="I21" s="69">
        <f>Lazer101157[[#This Row],[Orçado]]-Lazer101157[[#This Row],[Real]]</f>
        <v>0</v>
      </c>
    </row>
    <row r="22" spans="1:17" ht="15.6" x14ac:dyDescent="0.3">
      <c r="A22" s="25" t="s">
        <v>25</v>
      </c>
      <c r="B22" s="26"/>
      <c r="C22" s="26"/>
      <c r="D22" s="69">
        <f>Moradia102158[[#This Row],[Orçado]]-Moradia102158[[#This Row],[Real]]</f>
        <v>0</v>
      </c>
      <c r="E22" s="28"/>
      <c r="F22" s="25"/>
      <c r="G22" s="26"/>
      <c r="H22" s="26"/>
      <c r="I22" s="69">
        <f>Lazer101157[[#This Row],[Orçado]]-Lazer101157[[#This Row],[Real]]</f>
        <v>0</v>
      </c>
    </row>
    <row r="23" spans="1:17" ht="15.6" x14ac:dyDescent="0.3">
      <c r="A23" s="25"/>
      <c r="B23" s="26"/>
      <c r="C23" s="26"/>
      <c r="D23" s="69">
        <f>Moradia102158[[#This Row],[Orçado]]-Moradia102158[[#This Row],[Real]]</f>
        <v>0</v>
      </c>
      <c r="E23" s="28"/>
      <c r="F23" s="29"/>
      <c r="G23" s="30"/>
      <c r="H23" s="30"/>
      <c r="I23" s="69">
        <f>Lazer101157[[#This Row],[Orçado]]-Lazer101157[[#This Row],[Real]]</f>
        <v>0</v>
      </c>
    </row>
    <row r="24" spans="1:17" ht="15.6" x14ac:dyDescent="0.3">
      <c r="A24" s="25" t="s">
        <v>4</v>
      </c>
      <c r="B24" s="26"/>
      <c r="C24" s="26"/>
      <c r="D24" s="69">
        <f>Moradia102158[[#This Row],[Orçado]]-Moradia102158[[#This Row],[Real]]</f>
        <v>0</v>
      </c>
      <c r="E24" s="28"/>
      <c r="F24" s="25" t="s">
        <v>4</v>
      </c>
      <c r="G24" s="26"/>
      <c r="H24" s="26"/>
      <c r="I24" s="69">
        <f>Lazer101157[[#This Row],[Orçado]]-Lazer101157[[#This Row],[Real]]</f>
        <v>0</v>
      </c>
    </row>
    <row r="25" spans="1:17" ht="18" x14ac:dyDescent="0.3">
      <c r="A25" s="66" t="s">
        <v>5</v>
      </c>
      <c r="B25" s="65">
        <f>SUM(Moradia102158[Orçado])</f>
        <v>0</v>
      </c>
      <c r="C25" s="65">
        <f>SUM(Moradia102158[Real])</f>
        <v>0</v>
      </c>
      <c r="D25" s="65">
        <f>SUM(Moradia102158[Diferença])</f>
        <v>0</v>
      </c>
      <c r="E25" s="28"/>
      <c r="F25" s="66" t="s">
        <v>5</v>
      </c>
      <c r="G25" s="65">
        <f>SUM(Lazer101157[Orçado])</f>
        <v>0</v>
      </c>
      <c r="H25" s="65">
        <f>SUM(Lazer101157[Real])</f>
        <v>0</v>
      </c>
      <c r="I25" s="65">
        <f>SUM(Lazer101157[Diferença])</f>
        <v>0</v>
      </c>
    </row>
    <row r="26" spans="1:17" ht="37.799999999999997" customHeight="1" x14ac:dyDescent="0.3">
      <c r="A26" s="18"/>
      <c r="B26" s="19"/>
    </row>
    <row r="27" spans="1:17" ht="30" customHeight="1" x14ac:dyDescent="0.3">
      <c r="A27" s="101" t="s">
        <v>7</v>
      </c>
      <c r="B27" s="101"/>
      <c r="C27" s="101"/>
      <c r="D27" s="101"/>
      <c r="E27" s="20"/>
      <c r="F27" s="75"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Saúde99155[[#This Row],[Orçado]]-Saúde99155[[#This Row],[Real]]</f>
        <v>0</v>
      </c>
      <c r="E29" s="27"/>
      <c r="F29" s="25" t="s">
        <v>8</v>
      </c>
      <c r="G29" s="26"/>
      <c r="H29" s="26"/>
      <c r="I29" s="69">
        <f>Alimentação98154[[#This Row],[Orçado]]-Alimentação98154[[#This Row],[Real]]</f>
        <v>0</v>
      </c>
    </row>
    <row r="30" spans="1:17" ht="15.6" x14ac:dyDescent="0.3">
      <c r="A30" s="25" t="s">
        <v>29</v>
      </c>
      <c r="B30" s="26"/>
      <c r="C30" s="26"/>
      <c r="D30" s="69">
        <f>Saúde99155[[#This Row],[Orçado]]-Saúde99155[[#This Row],[Real]]</f>
        <v>0</v>
      </c>
      <c r="E30" s="28"/>
      <c r="F30" s="25" t="s">
        <v>37</v>
      </c>
      <c r="G30" s="26"/>
      <c r="H30" s="26"/>
      <c r="I30" s="69">
        <f>Alimentação98154[[#This Row],[Orçado]]-Alimentação98154[[#This Row],[Real]]</f>
        <v>0</v>
      </c>
    </row>
    <row r="31" spans="1:17" ht="15.6" x14ac:dyDescent="0.3">
      <c r="A31" s="25" t="s">
        <v>35</v>
      </c>
      <c r="B31" s="26"/>
      <c r="C31" s="26"/>
      <c r="D31" s="69">
        <f>Saúde99155[[#This Row],[Orçado]]-Saúde99155[[#This Row],[Real]]</f>
        <v>0</v>
      </c>
      <c r="E31" s="28"/>
      <c r="F31" s="25"/>
      <c r="G31" s="26"/>
      <c r="H31" s="26"/>
      <c r="I31" s="69">
        <f>Alimentação98154[[#This Row],[Orçado]]-Alimentação98154[[#This Row],[Real]]</f>
        <v>0</v>
      </c>
    </row>
    <row r="32" spans="1:17" ht="15.6" x14ac:dyDescent="0.3">
      <c r="A32" s="25"/>
      <c r="B32" s="26"/>
      <c r="C32" s="26"/>
      <c r="D32" s="69">
        <f>Saúde99155[[#This Row],[Orçado]]-Saúde99155[[#This Row],[Real]]</f>
        <v>0</v>
      </c>
      <c r="E32" s="28"/>
      <c r="F32" s="25"/>
      <c r="G32" s="26"/>
      <c r="H32" s="26"/>
      <c r="I32" s="69">
        <f>Alimentação98154[[#This Row],[Orçado]]-Alimentação98154[[#This Row],[Real]]</f>
        <v>0</v>
      </c>
    </row>
    <row r="33" spans="1:11" ht="15.6" x14ac:dyDescent="0.3">
      <c r="A33" s="25"/>
      <c r="B33" s="26"/>
      <c r="C33" s="26"/>
      <c r="D33" s="69">
        <f>Saúde99155[[#This Row],[Orçado]]-Saúde99155[[#This Row],[Real]]</f>
        <v>0</v>
      </c>
      <c r="E33" s="28"/>
      <c r="F33" s="25"/>
      <c r="G33" s="26"/>
      <c r="H33" s="26"/>
      <c r="I33" s="69">
        <f>Alimentação98154[[#This Row],[Orçado]]-Alimentação98154[[#This Row],[Real]]</f>
        <v>0</v>
      </c>
    </row>
    <row r="34" spans="1:11" ht="15.6" x14ac:dyDescent="0.3">
      <c r="A34" s="25"/>
      <c r="B34" s="26"/>
      <c r="C34" s="26"/>
      <c r="D34" s="69">
        <f>Saúde99155[[#This Row],[Orçado]]-Saúde99155[[#This Row],[Real]]</f>
        <v>0</v>
      </c>
      <c r="E34" s="28"/>
      <c r="F34" s="29"/>
      <c r="G34" s="30"/>
      <c r="H34" s="30"/>
      <c r="I34" s="69">
        <f>Alimentação98154[[#This Row],[Orçado]]-Alimentação98154[[#This Row],[Real]]</f>
        <v>0</v>
      </c>
    </row>
    <row r="35" spans="1:11" ht="15.6" x14ac:dyDescent="0.3">
      <c r="A35" s="25" t="s">
        <v>4</v>
      </c>
      <c r="B35" s="26"/>
      <c r="C35" s="26"/>
      <c r="D35" s="69">
        <f>Saúde99155[[#This Row],[Orçado]]-Saúde99155[[#This Row],[Real]]</f>
        <v>0</v>
      </c>
      <c r="E35" s="28"/>
      <c r="F35" s="25" t="s">
        <v>4</v>
      </c>
      <c r="G35" s="26"/>
      <c r="H35" s="26"/>
      <c r="I35" s="69">
        <f>Alimentação98154[[#This Row],[Orçado]]-Alimentação98154[[#This Row],[Real]]</f>
        <v>0</v>
      </c>
    </row>
    <row r="36" spans="1:11" ht="18" x14ac:dyDescent="0.3">
      <c r="A36" s="66" t="s">
        <v>5</v>
      </c>
      <c r="B36" s="65">
        <f>SUM(Saúde99155[Orçado])</f>
        <v>0</v>
      </c>
      <c r="C36" s="65">
        <f>SUM(Saúde99155[Real])</f>
        <v>0</v>
      </c>
      <c r="D36" s="65">
        <f>SUM(Saúde99155[Diferença])</f>
        <v>0</v>
      </c>
      <c r="E36" s="28"/>
      <c r="F36" s="66" t="s">
        <v>5</v>
      </c>
      <c r="G36" s="65">
        <f>SUM(Alimentação98154[Orçado])</f>
        <v>0</v>
      </c>
      <c r="H36" s="65">
        <f>SUM(Alimentação98154[Real])</f>
        <v>0</v>
      </c>
      <c r="I36" s="65">
        <f>SUM(Alimentação98154[Diferença])</f>
        <v>0</v>
      </c>
    </row>
    <row r="37" spans="1:11" ht="30" customHeight="1" x14ac:dyDescent="0.3">
      <c r="A37" s="32"/>
      <c r="B37" s="33"/>
      <c r="C37" s="33"/>
      <c r="D37" s="34"/>
      <c r="E37" s="28"/>
    </row>
    <row r="38" spans="1:11" ht="30" customHeight="1" x14ac:dyDescent="0.3">
      <c r="A38" s="101" t="s">
        <v>40</v>
      </c>
      <c r="B38" s="101"/>
      <c r="C38" s="101"/>
      <c r="D38" s="101"/>
      <c r="E38" s="28"/>
      <c r="F38" s="75"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Pessoaleducacao100156[[#This Row],[Orçado]]-Pessoaleducacao100156[[#This Row],[Real]]</f>
        <v>0</v>
      </c>
      <c r="E40" s="37"/>
      <c r="F40" s="25" t="s">
        <v>30</v>
      </c>
      <c r="G40" s="26"/>
      <c r="H40" s="26"/>
      <c r="I40" s="69">
        <f>Transporte105161[[#This Row],[Orçado]]-Transporte105161[[#This Row],[Real]]</f>
        <v>0</v>
      </c>
    </row>
    <row r="41" spans="1:11" ht="15.6" x14ac:dyDescent="0.3">
      <c r="A41" s="25" t="s">
        <v>9</v>
      </c>
      <c r="B41" s="26"/>
      <c r="C41" s="26"/>
      <c r="D41" s="69">
        <f>Pessoaleducacao100156[[#This Row],[Orçado]]-Pessoaleducacao100156[[#This Row],[Real]]</f>
        <v>0</v>
      </c>
      <c r="E41" s="28"/>
      <c r="F41" s="25" t="s">
        <v>31</v>
      </c>
      <c r="G41" s="26"/>
      <c r="H41" s="26"/>
      <c r="I41" s="69">
        <f>Transporte105161[[#This Row],[Orçado]]-Transporte105161[[#This Row],[Real]]</f>
        <v>0</v>
      </c>
    </row>
    <row r="42" spans="1:11" ht="15.6" x14ac:dyDescent="0.3">
      <c r="A42" s="25" t="s">
        <v>41</v>
      </c>
      <c r="B42" s="26"/>
      <c r="C42" s="26"/>
      <c r="D42" s="69">
        <f>Pessoaleducacao100156[[#This Row],[Orçado]]-Pessoaleducacao100156[[#This Row],[Real]]</f>
        <v>0</v>
      </c>
      <c r="E42" s="28"/>
      <c r="F42" s="25" t="s">
        <v>32</v>
      </c>
      <c r="G42" s="26"/>
      <c r="H42" s="26"/>
      <c r="I42" s="69">
        <f>Transporte105161[[#This Row],[Orçado]]-Transporte105161[[#This Row],[Real]]</f>
        <v>0</v>
      </c>
    </row>
    <row r="43" spans="1:11" ht="15.6" x14ac:dyDescent="0.3">
      <c r="A43" s="25" t="s">
        <v>42</v>
      </c>
      <c r="B43" s="26"/>
      <c r="C43" s="26"/>
      <c r="D43" s="69">
        <f>Pessoaleducacao100156[[#This Row],[Orçado]]-Pessoaleducacao100156[[#This Row],[Real]]</f>
        <v>0</v>
      </c>
      <c r="E43" s="28"/>
      <c r="F43" s="25"/>
      <c r="G43" s="26"/>
      <c r="H43" s="26"/>
      <c r="I43" s="69">
        <f>Transporte105161[[#This Row],[Orçado]]-Transporte105161[[#This Row],[Real]]</f>
        <v>0</v>
      </c>
    </row>
    <row r="44" spans="1:11" ht="15.6" x14ac:dyDescent="0.3">
      <c r="A44" s="25" t="s">
        <v>43</v>
      </c>
      <c r="B44" s="26"/>
      <c r="C44" s="26"/>
      <c r="D44" s="69">
        <f>Pessoaleducacao100156[[#This Row],[Orçado]]-Pessoaleducacao100156[[#This Row],[Real]]</f>
        <v>0</v>
      </c>
      <c r="E44" s="28"/>
      <c r="F44" s="25"/>
      <c r="G44" s="26"/>
      <c r="H44" s="26"/>
      <c r="I44" s="69">
        <f>Transporte105161[[#This Row],[Orçado]]-Transporte105161[[#This Row],[Real]]</f>
        <v>0</v>
      </c>
    </row>
    <row r="45" spans="1:11" ht="15.6" x14ac:dyDescent="0.3">
      <c r="A45" s="25"/>
      <c r="B45" s="26"/>
      <c r="C45" s="26"/>
      <c r="D45" s="69">
        <f>Pessoaleducacao100156[[#This Row],[Orçado]]-Pessoaleducacao100156[[#This Row],[Real]]</f>
        <v>0</v>
      </c>
      <c r="E45" s="28"/>
      <c r="F45" s="29"/>
      <c r="G45" s="30"/>
      <c r="H45" s="30"/>
      <c r="I45" s="69">
        <f>Transporte105161[[#This Row],[Orçado]]-Transporte105161[[#This Row],[Real]]</f>
        <v>0</v>
      </c>
      <c r="J45" s="38"/>
      <c r="K45" s="38"/>
    </row>
    <row r="46" spans="1:11" ht="15.6" x14ac:dyDescent="0.3">
      <c r="A46" s="39" t="s">
        <v>4</v>
      </c>
      <c r="B46" s="40"/>
      <c r="C46" s="40"/>
      <c r="D46" s="69">
        <f>Pessoaleducacao100156[[#This Row],[Orçado]]-Pessoaleducacao100156[[#This Row],[Real]]</f>
        <v>0</v>
      </c>
      <c r="E46" s="28"/>
      <c r="F46" s="25" t="s">
        <v>4</v>
      </c>
      <c r="G46" s="26"/>
      <c r="H46" s="26"/>
      <c r="I46" s="69">
        <f>Transporte105161[[#This Row],[Orçado]]-Transporte105161[[#This Row],[Real]]</f>
        <v>0</v>
      </c>
      <c r="J46" s="38"/>
      <c r="K46" s="38"/>
    </row>
    <row r="47" spans="1:11" ht="18" x14ac:dyDescent="0.3">
      <c r="A47" s="66" t="s">
        <v>5</v>
      </c>
      <c r="B47" s="65">
        <f>SUM(Pessoaleducacao100156[Orçado])</f>
        <v>0</v>
      </c>
      <c r="C47" s="65">
        <f>SUM(Pessoaleducacao100156[Real])</f>
        <v>0</v>
      </c>
      <c r="D47" s="65">
        <f>SUM(Pessoaleducacao100156[Diferença])</f>
        <v>0</v>
      </c>
      <c r="E47" s="28"/>
      <c r="F47" s="66" t="s">
        <v>5</v>
      </c>
      <c r="G47" s="65">
        <f>SUM(Transporte105161[Orçado])</f>
        <v>0</v>
      </c>
      <c r="H47" s="65">
        <f>SUM(Transporte105161[Real])</f>
        <v>0</v>
      </c>
      <c r="I47" s="65">
        <f>SUM(Transporte105161[Diferença])</f>
        <v>0</v>
      </c>
      <c r="J47" s="38"/>
      <c r="K47" s="38"/>
    </row>
    <row r="48" spans="1:11" s="31" customFormat="1" ht="30" customHeight="1" x14ac:dyDescent="0.3">
      <c r="A48" s="99"/>
      <c r="B48" s="99"/>
      <c r="C48" s="99"/>
      <c r="D48" s="99"/>
      <c r="E48" s="37"/>
      <c r="F48" s="5"/>
      <c r="G48" s="5"/>
      <c r="H48" s="5"/>
      <c r="I48" s="5"/>
    </row>
    <row r="49" spans="1:9" ht="30" customHeight="1" x14ac:dyDescent="0.3">
      <c r="A49" s="75" t="s">
        <v>11</v>
      </c>
      <c r="B49" s="68"/>
      <c r="C49" s="68"/>
      <c r="D49" s="68"/>
      <c r="E49" s="28"/>
      <c r="F49" s="75"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Investimentos104160[[#This Row],[Orçado]]-Investimentos104160[[#This Row],[Real]]</f>
        <v>0</v>
      </c>
      <c r="E51" s="28"/>
      <c r="F51" s="35" t="s">
        <v>38</v>
      </c>
      <c r="G51" s="36"/>
      <c r="H51" s="36"/>
      <c r="I51" s="69">
        <f>Outros103159[[#This Row],[Orçado]]-Outros103159[[#This Row],[Real]]</f>
        <v>0</v>
      </c>
    </row>
    <row r="52" spans="1:9" ht="15.6" customHeight="1" x14ac:dyDescent="0.3">
      <c r="A52" s="25" t="s">
        <v>20</v>
      </c>
      <c r="B52" s="30"/>
      <c r="C52" s="30"/>
      <c r="D52" s="69">
        <f>Investimentos104160[[#This Row],[Orçado]]-Investimentos104160[[#This Row],[Real]]</f>
        <v>0</v>
      </c>
      <c r="E52" s="28"/>
      <c r="F52" s="25" t="s">
        <v>39</v>
      </c>
      <c r="G52" s="30"/>
      <c r="H52" s="30"/>
      <c r="I52" s="69">
        <f>Outros103159[[#This Row],[Orçado]]-Outros103159[[#This Row],[Real]]</f>
        <v>0</v>
      </c>
    </row>
    <row r="53" spans="1:9" ht="15.6" customHeight="1" x14ac:dyDescent="0.3">
      <c r="A53" s="25" t="s">
        <v>11</v>
      </c>
      <c r="B53" s="30"/>
      <c r="C53" s="30"/>
      <c r="D53" s="69">
        <f>Investimentos104160[[#This Row],[Orçado]]-Investimentos104160[[#This Row],[Real]]</f>
        <v>0</v>
      </c>
      <c r="E53" s="28"/>
      <c r="F53" s="25"/>
      <c r="G53" s="30"/>
      <c r="H53" s="30"/>
      <c r="I53" s="69">
        <f>Outros103159[[#This Row],[Orçado]]-Outros103159[[#This Row],[Real]]</f>
        <v>0</v>
      </c>
    </row>
    <row r="54" spans="1:9" ht="15.6" customHeight="1" x14ac:dyDescent="0.3">
      <c r="A54" s="25"/>
      <c r="B54" s="26"/>
      <c r="C54" s="26"/>
      <c r="D54" s="69">
        <f>Investimentos104160[[#This Row],[Orçado]]-Investimentos104160[[#This Row],[Real]]</f>
        <v>0</v>
      </c>
      <c r="E54" s="28"/>
      <c r="F54" s="25"/>
      <c r="G54" s="26"/>
      <c r="H54" s="26"/>
      <c r="I54" s="69">
        <f>Outros103159[[#This Row],[Orçado]]-Outros103159[[#This Row],[Real]]</f>
        <v>0</v>
      </c>
    </row>
    <row r="55" spans="1:9" s="31" customFormat="1" ht="15.6" customHeight="1" x14ac:dyDescent="0.3">
      <c r="A55" s="29"/>
      <c r="B55" s="30"/>
      <c r="C55" s="30"/>
      <c r="D55" s="69">
        <f>Investimentos104160[[#This Row],[Orçado]]-Investimentos104160[[#This Row],[Real]]</f>
        <v>0</v>
      </c>
      <c r="E55" s="37"/>
      <c r="F55" s="29"/>
      <c r="G55" s="30"/>
      <c r="H55" s="30"/>
      <c r="I55" s="69">
        <f>Outros103159[[#This Row],[Orçado]]-Outros103159[[#This Row],[Real]]</f>
        <v>0</v>
      </c>
    </row>
    <row r="56" spans="1:9" s="31" customFormat="1" ht="15.6" x14ac:dyDescent="0.3">
      <c r="A56" s="29"/>
      <c r="B56" s="30"/>
      <c r="C56" s="30"/>
      <c r="D56" s="69">
        <f>Investimentos104160[[#This Row],[Orçado]]-Investimentos104160[[#This Row],[Real]]</f>
        <v>0</v>
      </c>
      <c r="E56" s="37"/>
      <c r="F56" s="29"/>
      <c r="G56" s="30"/>
      <c r="H56" s="30"/>
      <c r="I56" s="69">
        <f>Outros103159[[#This Row],[Orçado]]-Outros103159[[#This Row],[Real]]</f>
        <v>0</v>
      </c>
    </row>
    <row r="57" spans="1:9" s="31" customFormat="1" ht="15.6" x14ac:dyDescent="0.3">
      <c r="A57" s="25" t="s">
        <v>4</v>
      </c>
      <c r="B57" s="26"/>
      <c r="C57" s="26"/>
      <c r="D57" s="69">
        <f>Investimentos104160[[#This Row],[Orçado]]-Investimentos104160[[#This Row],[Real]]</f>
        <v>0</v>
      </c>
      <c r="E57" s="37"/>
      <c r="F57" s="25" t="s">
        <v>4</v>
      </c>
      <c r="G57" s="26"/>
      <c r="H57" s="26"/>
      <c r="I57" s="69">
        <f>Outros103159[[#This Row],[Orçado]]-Outros103159[[#This Row],[Real]]</f>
        <v>0</v>
      </c>
    </row>
    <row r="58" spans="1:9" ht="18" x14ac:dyDescent="0.3">
      <c r="A58" s="64" t="s">
        <v>5</v>
      </c>
      <c r="B58" s="65">
        <f>SUM(Investimentos104160[Orçado])</f>
        <v>0</v>
      </c>
      <c r="C58" s="65">
        <f>SUM(Investimentos104160[Real])</f>
        <v>0</v>
      </c>
      <c r="D58" s="65">
        <f>SUM(Investimentos104160[Diferença])</f>
        <v>0</v>
      </c>
      <c r="E58" s="28"/>
      <c r="F58" s="64" t="s">
        <v>5</v>
      </c>
      <c r="G58" s="65">
        <f>SUM(Outros103159[Orçado])</f>
        <v>0</v>
      </c>
      <c r="H58" s="65">
        <f>SUM(Outros103159[Real])</f>
        <v>0</v>
      </c>
      <c r="I58" s="65">
        <f>SUM(Outros103159[Diferença])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HMN8SM5s2jsxujsED/7YYNmziEWBZJ/+bgy1iC6+IhhQWMMa57TP9xyNoWUqo27Tb6bCjefQdxu9PIyPDofjqQ==" saltValue="UfZARjBzR49dsE3thIjGig==" spinCount="100000" sheet="1" objects="1" scenarios="1" selectLockedCells="1"/>
  <mergeCells count="17">
    <mergeCell ref="A48:D48"/>
    <mergeCell ref="A61:D61"/>
    <mergeCell ref="F6:F7"/>
    <mergeCell ref="A38:D38"/>
    <mergeCell ref="H2:I2"/>
    <mergeCell ref="A16:D16"/>
    <mergeCell ref="A2:G2"/>
    <mergeCell ref="A4:B4"/>
    <mergeCell ref="A27:D27"/>
    <mergeCell ref="A11:B11"/>
    <mergeCell ref="D12:F13"/>
    <mergeCell ref="G12:G13"/>
    <mergeCell ref="D6:E7"/>
    <mergeCell ref="D8:E9"/>
    <mergeCell ref="F8:F9"/>
    <mergeCell ref="H4:I10"/>
    <mergeCell ref="H13:I15"/>
  </mergeCells>
  <conditionalFormatting sqref="J6:J9">
    <cfRule type="containsText" dxfId="463" priority="5" operator="containsText" text="Atenção! Cuidado com sua saúde financeira">
      <formula>NOT(ISERROR(SEARCH("Atenção! Cuidado com sua saúde financeira",J6)))</formula>
    </cfRule>
  </conditionalFormatting>
  <conditionalFormatting sqref="C14">
    <cfRule type="containsText" dxfId="462" priority="3" operator="containsText" text="Você está dentro do orçamento">
      <formula>NOT(ISERROR(SEARCH("Você está dentro do orçamento",C14)))</formula>
    </cfRule>
    <cfRule type="containsText" dxfId="461" priority="4" operator="containsText" text="Você está fora do orçamento">
      <formula>NOT(ISERROR(SEARCH("Você está fora do orçamento",C14)))</formula>
    </cfRule>
  </conditionalFormatting>
  <conditionalFormatting sqref="H4 J4:L10">
    <cfRule type="containsText" dxfId="460"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459" priority="1" stopIfTrue="1" operator="containsText" text="Atenção! Cuidado com sua saúde financeira">
      <formula>NOT(ISERROR(SEARCH("Atenção! Cuidado com sua saúde financeira",H4)))</formula>
    </cfRule>
    <cfRule type="containsText" dxfId="458"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B9" unlockedFormula="1"/>
  </ignoredErrors>
  <drawing r:id="rId2"/>
  <tableParts count="8">
    <tablePart r:id="rId3"/>
    <tablePart r:id="rId4"/>
    <tablePart r:id="rId5"/>
    <tablePart r:id="rId6"/>
    <tablePart r:id="rId7"/>
    <tablePart r:id="rId8"/>
    <tablePart r:id="rId9"/>
    <tablePart r:id="rId1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77A3D-0158-4C4E-AD62-BEE6AE142613}">
  <sheetPr>
    <tabColor theme="5" tint="0.79998168889431442"/>
    <pageSetUpPr autoPageBreaks="0" fitToPage="1"/>
  </sheetPr>
  <dimension ref="A1:Q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7" s="13" customFormat="1" ht="19.95" customHeight="1" x14ac:dyDescent="0.45">
      <c r="A1" s="12">
        <f ca="1">NOW()</f>
        <v>44791.47886412037</v>
      </c>
    </row>
    <row r="2" spans="1:17" s="13" customFormat="1" ht="94.8" customHeight="1" x14ac:dyDescent="0.3">
      <c r="A2" s="92" t="s">
        <v>64</v>
      </c>
      <c r="B2" s="92"/>
      <c r="C2" s="92"/>
      <c r="D2" s="92"/>
      <c r="E2" s="92"/>
      <c r="F2" s="92"/>
      <c r="G2" s="92"/>
      <c r="H2" s="84"/>
      <c r="I2" s="85"/>
      <c r="J2" s="77"/>
      <c r="K2" s="77"/>
      <c r="L2" s="77"/>
    </row>
    <row r="3" spans="1:17" s="15" customFormat="1" ht="15" customHeight="1" x14ac:dyDescent="0.3"/>
    <row r="4" spans="1:17"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row>
    <row r="5" spans="1:17" s="15" customFormat="1" ht="15.6" customHeight="1" x14ac:dyDescent="0.3">
      <c r="A5" s="6" t="s">
        <v>12</v>
      </c>
      <c r="B5" s="7">
        <v>100</v>
      </c>
      <c r="H5" s="91"/>
      <c r="I5" s="91"/>
      <c r="K5" s="76" t="str">
        <f>IF(I8&gt;0,"Parabéns! Invista na Mais Previdência", IF(I8&lt;0,"Atenção! Cuidado com sua saúde financeira.",""))</f>
        <v/>
      </c>
      <c r="L5" s="76"/>
    </row>
    <row r="6" spans="1:17" s="15" customFormat="1" ht="15.6" customHeight="1" x14ac:dyDescent="0.3">
      <c r="A6" s="8" t="s">
        <v>0</v>
      </c>
      <c r="B6" s="9">
        <v>10</v>
      </c>
      <c r="D6" s="93" t="s">
        <v>49</v>
      </c>
      <c r="E6" s="93"/>
      <c r="F6" s="88">
        <f>B9-B12</f>
        <v>220</v>
      </c>
      <c r="H6" s="91"/>
      <c r="I6" s="91"/>
      <c r="J6" s="62"/>
      <c r="K6" s="76"/>
      <c r="L6" s="76"/>
    </row>
    <row r="7" spans="1:17" s="15" customFormat="1" ht="15.6" customHeight="1" x14ac:dyDescent="0.3">
      <c r="A7" s="8" t="s">
        <v>13</v>
      </c>
      <c r="B7" s="9">
        <v>10</v>
      </c>
      <c r="D7" s="93"/>
      <c r="E7" s="93"/>
      <c r="F7" s="88"/>
      <c r="H7" s="91"/>
      <c r="I7" s="91"/>
      <c r="J7" s="62"/>
      <c r="K7" s="76"/>
      <c r="L7" s="76"/>
    </row>
    <row r="8" spans="1:17" s="15" customFormat="1" ht="15.6" customHeight="1" x14ac:dyDescent="0.3">
      <c r="A8" s="8" t="s">
        <v>14</v>
      </c>
      <c r="B8" s="9">
        <v>100</v>
      </c>
      <c r="D8" s="94" t="s">
        <v>50</v>
      </c>
      <c r="E8" s="94"/>
      <c r="F8" s="95">
        <f>B9-B13</f>
        <v>220</v>
      </c>
      <c r="H8" s="91"/>
      <c r="I8" s="91"/>
      <c r="J8" s="62"/>
      <c r="K8" s="76"/>
      <c r="L8" s="76"/>
    </row>
    <row r="9" spans="1:17" s="15" customFormat="1" ht="18" customHeight="1" x14ac:dyDescent="0.3">
      <c r="A9" s="10" t="s">
        <v>1</v>
      </c>
      <c r="B9" s="11">
        <f>SUM(B5:B8)</f>
        <v>220</v>
      </c>
      <c r="D9" s="94"/>
      <c r="E9" s="94"/>
      <c r="F9" s="95"/>
      <c r="G9" s="60"/>
      <c r="H9" s="91"/>
      <c r="I9" s="91"/>
      <c r="J9" s="62"/>
      <c r="K9" s="76"/>
      <c r="L9" s="76"/>
    </row>
    <row r="10" spans="1:17" s="15" customFormat="1" ht="30" customHeight="1" x14ac:dyDescent="0.3">
      <c r="A10" s="5"/>
      <c r="B10" s="5"/>
      <c r="D10" s="61"/>
      <c r="E10" s="61"/>
      <c r="F10" s="61"/>
      <c r="G10" s="60"/>
      <c r="H10" s="91"/>
      <c r="I10" s="91"/>
      <c r="J10" s="17"/>
      <c r="K10" s="76"/>
      <c r="L10" s="76"/>
    </row>
    <row r="11" spans="1:17" s="15" customFormat="1" ht="30" customHeight="1" x14ac:dyDescent="0.3">
      <c r="A11" s="86" t="s">
        <v>48</v>
      </c>
      <c r="B11" s="87"/>
      <c r="C11" s="16"/>
      <c r="D11" s="61"/>
      <c r="E11" s="61"/>
      <c r="F11" s="61"/>
      <c r="G11" s="60"/>
      <c r="I11" s="79"/>
      <c r="J11" s="79"/>
      <c r="K11" s="79"/>
      <c r="L11" s="79"/>
    </row>
    <row r="12" spans="1:17" s="15" customFormat="1" ht="15.6" customHeight="1" x14ac:dyDescent="0.3">
      <c r="A12" s="73" t="s">
        <v>16</v>
      </c>
      <c r="B12" s="72">
        <f>SUM(Moradia102166[Orçado],Lazer101165[Orçado],Saúde99163[Orçado],Alimentação98162[Orçado],Pessoaleducacao100164[Orçado],Transporte105169[Orçado],Investimentos104168[Orçado],Outros103167[Orçado])</f>
        <v>0</v>
      </c>
      <c r="D12" s="100"/>
      <c r="E12" s="100"/>
      <c r="F12" s="100"/>
      <c r="G12" s="89"/>
      <c r="H12" s="79"/>
      <c r="I12" s="79"/>
      <c r="J12" s="79"/>
      <c r="K12" s="79"/>
      <c r="L12" s="79"/>
    </row>
    <row r="13" spans="1:17" s="15" customFormat="1" ht="15.6" customHeight="1" x14ac:dyDescent="0.3">
      <c r="A13" s="74" t="s">
        <v>17</v>
      </c>
      <c r="B13" s="69">
        <f>SUM(Moradia102166[Real],Lazer101165[Real],Saúde99163[Real],Alimentação98162[Real],Pessoaleducacao100164[Real],Transporte105169[Real],Investimentos104168[Real],Outros103167[Real])</f>
        <v>0</v>
      </c>
      <c r="D13" s="100"/>
      <c r="E13" s="100"/>
      <c r="F13" s="100"/>
      <c r="G13" s="89"/>
      <c r="H13" s="84" t="s">
        <v>68</v>
      </c>
      <c r="I13" s="84"/>
      <c r="J13" s="79"/>
      <c r="K13" s="79"/>
      <c r="L13" s="79"/>
    </row>
    <row r="14" spans="1:17" s="15" customFormat="1" ht="18" x14ac:dyDescent="0.3">
      <c r="A14" s="70" t="s">
        <v>10</v>
      </c>
      <c r="B14" s="63">
        <f>B12-B13</f>
        <v>0</v>
      </c>
      <c r="C14" s="71" t="str">
        <f>IF(B14&gt;0,"Você está dentro do orçamento", IF(B14&lt;0,"Você está fora do orçamento",""))</f>
        <v/>
      </c>
      <c r="H14" s="84"/>
      <c r="I14" s="84"/>
    </row>
    <row r="15" spans="1:17" ht="37.799999999999997" customHeight="1" x14ac:dyDescent="0.3">
      <c r="A15" s="18"/>
      <c r="B15" s="19"/>
      <c r="H15" s="84"/>
      <c r="I15" s="84"/>
    </row>
    <row r="16" spans="1:17" ht="30" customHeight="1" x14ac:dyDescent="0.3">
      <c r="A16" s="101" t="s">
        <v>2</v>
      </c>
      <c r="B16" s="101"/>
      <c r="C16" s="101"/>
      <c r="D16" s="101"/>
      <c r="E16" s="20"/>
      <c r="F16" s="75"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Moradia102166[[#This Row],[Orçado]]-Moradia102166[[#This Row],[Real]]</f>
        <v>0</v>
      </c>
      <c r="E18" s="27"/>
      <c r="F18" s="25" t="s">
        <v>26</v>
      </c>
      <c r="G18" s="26"/>
      <c r="H18" s="26"/>
      <c r="I18" s="69">
        <f>Lazer101165[[#This Row],[Orçado]]-Lazer101165[[#This Row],[Real]]</f>
        <v>0</v>
      </c>
      <c r="M18" s="78"/>
      <c r="N18" s="78"/>
      <c r="O18" s="78"/>
      <c r="P18" s="78"/>
      <c r="Q18" s="78"/>
    </row>
    <row r="19" spans="1:17" ht="15.6" x14ac:dyDescent="0.3">
      <c r="A19" s="25" t="s">
        <v>22</v>
      </c>
      <c r="B19" s="26"/>
      <c r="C19" s="26"/>
      <c r="D19" s="69">
        <f>Moradia102166[[#This Row],[Orçado]]-Moradia102166[[#This Row],[Real]]</f>
        <v>0</v>
      </c>
      <c r="E19" s="28"/>
      <c r="F19" s="25" t="s">
        <v>27</v>
      </c>
      <c r="G19" s="26"/>
      <c r="H19" s="26"/>
      <c r="I19" s="69">
        <f>Lazer101165[[#This Row],[Orçado]]-Lazer101165[[#This Row],[Real]]</f>
        <v>0</v>
      </c>
      <c r="M19" s="78"/>
      <c r="N19" s="78"/>
      <c r="O19" s="78"/>
      <c r="P19" s="78"/>
      <c r="Q19" s="78"/>
    </row>
    <row r="20" spans="1:17" ht="15.6" x14ac:dyDescent="0.3">
      <c r="A20" s="25" t="s">
        <v>23</v>
      </c>
      <c r="B20" s="26"/>
      <c r="C20" s="26"/>
      <c r="D20" s="69">
        <f>Moradia102166[[#This Row],[Orçado]]-Moradia102166[[#This Row],[Real]]</f>
        <v>0</v>
      </c>
      <c r="E20" s="28"/>
      <c r="F20" s="25" t="s">
        <v>34</v>
      </c>
      <c r="G20" s="26"/>
      <c r="H20" s="26"/>
      <c r="I20" s="69">
        <f>Lazer101165[[#This Row],[Orçado]]-Lazer101165[[#This Row],[Real]]</f>
        <v>0</v>
      </c>
      <c r="M20" s="78"/>
      <c r="N20" s="78"/>
      <c r="O20" s="78"/>
      <c r="P20" s="78"/>
      <c r="Q20" s="78"/>
    </row>
    <row r="21" spans="1:17" ht="15.6" x14ac:dyDescent="0.3">
      <c r="A21" s="25" t="s">
        <v>24</v>
      </c>
      <c r="B21" s="26"/>
      <c r="C21" s="26"/>
      <c r="D21" s="69">
        <f>Moradia102166[[#This Row],[Orçado]]-Moradia102166[[#This Row],[Real]]</f>
        <v>0</v>
      </c>
      <c r="E21" s="28"/>
      <c r="F21" s="25"/>
      <c r="G21" s="26"/>
      <c r="H21" s="26"/>
      <c r="I21" s="69">
        <f>Lazer101165[[#This Row],[Orçado]]-Lazer101165[[#This Row],[Real]]</f>
        <v>0</v>
      </c>
    </row>
    <row r="22" spans="1:17" ht="15.6" x14ac:dyDescent="0.3">
      <c r="A22" s="25" t="s">
        <v>25</v>
      </c>
      <c r="B22" s="26"/>
      <c r="C22" s="26"/>
      <c r="D22" s="69">
        <f>Moradia102166[[#This Row],[Orçado]]-Moradia102166[[#This Row],[Real]]</f>
        <v>0</v>
      </c>
      <c r="E22" s="28"/>
      <c r="F22" s="25"/>
      <c r="G22" s="26"/>
      <c r="H22" s="26"/>
      <c r="I22" s="69">
        <f>Lazer101165[[#This Row],[Orçado]]-Lazer101165[[#This Row],[Real]]</f>
        <v>0</v>
      </c>
    </row>
    <row r="23" spans="1:17" ht="15.6" x14ac:dyDescent="0.3">
      <c r="A23" s="25"/>
      <c r="B23" s="26"/>
      <c r="C23" s="26"/>
      <c r="D23" s="69">
        <f>Moradia102166[[#This Row],[Orçado]]-Moradia102166[[#This Row],[Real]]</f>
        <v>0</v>
      </c>
      <c r="E23" s="28"/>
      <c r="F23" s="29"/>
      <c r="G23" s="30"/>
      <c r="H23" s="30"/>
      <c r="I23" s="69">
        <f>Lazer101165[[#This Row],[Orçado]]-Lazer101165[[#This Row],[Real]]</f>
        <v>0</v>
      </c>
    </row>
    <row r="24" spans="1:17" ht="15.6" x14ac:dyDescent="0.3">
      <c r="A24" s="25" t="s">
        <v>4</v>
      </c>
      <c r="B24" s="26"/>
      <c r="C24" s="26"/>
      <c r="D24" s="69">
        <f>Moradia102166[[#This Row],[Orçado]]-Moradia102166[[#This Row],[Real]]</f>
        <v>0</v>
      </c>
      <c r="E24" s="28"/>
      <c r="F24" s="25" t="s">
        <v>4</v>
      </c>
      <c r="G24" s="26"/>
      <c r="H24" s="26"/>
      <c r="I24" s="69">
        <f>Lazer101165[[#This Row],[Orçado]]-Lazer101165[[#This Row],[Real]]</f>
        <v>0</v>
      </c>
    </row>
    <row r="25" spans="1:17" ht="18" x14ac:dyDescent="0.3">
      <c r="A25" s="66" t="s">
        <v>5</v>
      </c>
      <c r="B25" s="65">
        <f>SUM(Moradia102166[Orçado])</f>
        <v>0</v>
      </c>
      <c r="C25" s="65">
        <f>SUM(Moradia102166[Real])</f>
        <v>0</v>
      </c>
      <c r="D25" s="65">
        <f>SUM(Moradia102166[Diferença])</f>
        <v>0</v>
      </c>
      <c r="E25" s="28"/>
      <c r="F25" s="66" t="s">
        <v>5</v>
      </c>
      <c r="G25" s="65">
        <f>SUM(Lazer101165[Orçado])</f>
        <v>0</v>
      </c>
      <c r="H25" s="65">
        <f>SUM(Lazer101165[Real])</f>
        <v>0</v>
      </c>
      <c r="I25" s="65">
        <f>SUM(Lazer101165[Diferença])</f>
        <v>0</v>
      </c>
    </row>
    <row r="26" spans="1:17" ht="37.799999999999997" customHeight="1" x14ac:dyDescent="0.3">
      <c r="A26" s="18"/>
      <c r="B26" s="19"/>
    </row>
    <row r="27" spans="1:17" ht="30" customHeight="1" x14ac:dyDescent="0.3">
      <c r="A27" s="101" t="s">
        <v>7</v>
      </c>
      <c r="B27" s="101"/>
      <c r="C27" s="101"/>
      <c r="D27" s="101"/>
      <c r="E27" s="20"/>
      <c r="F27" s="75"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Saúde99163[[#This Row],[Orçado]]-Saúde99163[[#This Row],[Real]]</f>
        <v>0</v>
      </c>
      <c r="E29" s="27"/>
      <c r="F29" s="25" t="s">
        <v>8</v>
      </c>
      <c r="G29" s="26"/>
      <c r="H29" s="26"/>
      <c r="I29" s="69">
        <f>Alimentação98162[[#This Row],[Orçado]]-Alimentação98162[[#This Row],[Real]]</f>
        <v>0</v>
      </c>
    </row>
    <row r="30" spans="1:17" ht="15.6" x14ac:dyDescent="0.3">
      <c r="A30" s="25" t="s">
        <v>29</v>
      </c>
      <c r="B30" s="26"/>
      <c r="C30" s="26"/>
      <c r="D30" s="69">
        <f>Saúde99163[[#This Row],[Orçado]]-Saúde99163[[#This Row],[Real]]</f>
        <v>0</v>
      </c>
      <c r="E30" s="28"/>
      <c r="F30" s="25" t="s">
        <v>37</v>
      </c>
      <c r="G30" s="26"/>
      <c r="H30" s="26"/>
      <c r="I30" s="69">
        <f>Alimentação98162[[#This Row],[Orçado]]-Alimentação98162[[#This Row],[Real]]</f>
        <v>0</v>
      </c>
    </row>
    <row r="31" spans="1:17" ht="15.6" x14ac:dyDescent="0.3">
      <c r="A31" s="25" t="s">
        <v>35</v>
      </c>
      <c r="B31" s="26"/>
      <c r="C31" s="26"/>
      <c r="D31" s="69">
        <f>Saúde99163[[#This Row],[Orçado]]-Saúde99163[[#This Row],[Real]]</f>
        <v>0</v>
      </c>
      <c r="E31" s="28"/>
      <c r="F31" s="25"/>
      <c r="G31" s="26"/>
      <c r="H31" s="26"/>
      <c r="I31" s="69">
        <f>Alimentação98162[[#This Row],[Orçado]]-Alimentação98162[[#This Row],[Real]]</f>
        <v>0</v>
      </c>
    </row>
    <row r="32" spans="1:17" ht="15.6" x14ac:dyDescent="0.3">
      <c r="A32" s="25"/>
      <c r="B32" s="26"/>
      <c r="C32" s="26"/>
      <c r="D32" s="69">
        <f>Saúde99163[[#This Row],[Orçado]]-Saúde99163[[#This Row],[Real]]</f>
        <v>0</v>
      </c>
      <c r="E32" s="28"/>
      <c r="F32" s="25"/>
      <c r="G32" s="26"/>
      <c r="H32" s="26"/>
      <c r="I32" s="69">
        <f>Alimentação98162[[#This Row],[Orçado]]-Alimentação98162[[#This Row],[Real]]</f>
        <v>0</v>
      </c>
    </row>
    <row r="33" spans="1:11" ht="15.6" x14ac:dyDescent="0.3">
      <c r="A33" s="25"/>
      <c r="B33" s="26"/>
      <c r="C33" s="26"/>
      <c r="D33" s="69">
        <f>Saúde99163[[#This Row],[Orçado]]-Saúde99163[[#This Row],[Real]]</f>
        <v>0</v>
      </c>
      <c r="E33" s="28"/>
      <c r="F33" s="25"/>
      <c r="G33" s="26"/>
      <c r="H33" s="26"/>
      <c r="I33" s="69">
        <f>Alimentação98162[[#This Row],[Orçado]]-Alimentação98162[[#This Row],[Real]]</f>
        <v>0</v>
      </c>
    </row>
    <row r="34" spans="1:11" ht="15.6" x14ac:dyDescent="0.3">
      <c r="A34" s="25"/>
      <c r="B34" s="26"/>
      <c r="C34" s="26"/>
      <c r="D34" s="69">
        <f>Saúde99163[[#This Row],[Orçado]]-Saúde99163[[#This Row],[Real]]</f>
        <v>0</v>
      </c>
      <c r="E34" s="28"/>
      <c r="F34" s="29"/>
      <c r="G34" s="30"/>
      <c r="H34" s="30"/>
      <c r="I34" s="69">
        <f>Alimentação98162[[#This Row],[Orçado]]-Alimentação98162[[#This Row],[Real]]</f>
        <v>0</v>
      </c>
    </row>
    <row r="35" spans="1:11" ht="15.6" x14ac:dyDescent="0.3">
      <c r="A35" s="25" t="s">
        <v>4</v>
      </c>
      <c r="B35" s="26"/>
      <c r="C35" s="26"/>
      <c r="D35" s="69">
        <f>Saúde99163[[#This Row],[Orçado]]-Saúde99163[[#This Row],[Real]]</f>
        <v>0</v>
      </c>
      <c r="E35" s="28"/>
      <c r="F35" s="25" t="s">
        <v>4</v>
      </c>
      <c r="G35" s="26"/>
      <c r="H35" s="26"/>
      <c r="I35" s="69">
        <f>Alimentação98162[[#This Row],[Orçado]]-Alimentação98162[[#This Row],[Real]]</f>
        <v>0</v>
      </c>
    </row>
    <row r="36" spans="1:11" ht="18" x14ac:dyDescent="0.3">
      <c r="A36" s="66" t="s">
        <v>5</v>
      </c>
      <c r="B36" s="65">
        <f>SUM(Saúde99163[Orçado])</f>
        <v>0</v>
      </c>
      <c r="C36" s="65">
        <f>SUM(Saúde99163[Real])</f>
        <v>0</v>
      </c>
      <c r="D36" s="65">
        <f>SUM(Saúde99163[Diferença])</f>
        <v>0</v>
      </c>
      <c r="E36" s="28"/>
      <c r="F36" s="66" t="s">
        <v>5</v>
      </c>
      <c r="G36" s="65">
        <f>SUM(Alimentação98162[Orçado])</f>
        <v>0</v>
      </c>
      <c r="H36" s="65">
        <f>SUM(Alimentação98162[Real])</f>
        <v>0</v>
      </c>
      <c r="I36" s="65">
        <f>SUM(Alimentação98162[Diferença])</f>
        <v>0</v>
      </c>
    </row>
    <row r="37" spans="1:11" ht="30" customHeight="1" x14ac:dyDescent="0.3">
      <c r="A37" s="32"/>
      <c r="B37" s="33"/>
      <c r="C37" s="33"/>
      <c r="D37" s="34"/>
      <c r="E37" s="28"/>
    </row>
    <row r="38" spans="1:11" ht="30" customHeight="1" x14ac:dyDescent="0.3">
      <c r="A38" s="101" t="s">
        <v>40</v>
      </c>
      <c r="B38" s="101"/>
      <c r="C38" s="101"/>
      <c r="D38" s="101"/>
      <c r="E38" s="28"/>
      <c r="F38" s="75"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Pessoaleducacao100164[[#This Row],[Orçado]]-Pessoaleducacao100164[[#This Row],[Real]]</f>
        <v>0</v>
      </c>
      <c r="E40" s="37"/>
      <c r="F40" s="25" t="s">
        <v>30</v>
      </c>
      <c r="G40" s="26"/>
      <c r="H40" s="26"/>
      <c r="I40" s="69">
        <f>Transporte105169[[#This Row],[Orçado]]-Transporte105169[[#This Row],[Real]]</f>
        <v>0</v>
      </c>
    </row>
    <row r="41" spans="1:11" ht="15.6" x14ac:dyDescent="0.3">
      <c r="A41" s="25" t="s">
        <v>9</v>
      </c>
      <c r="B41" s="26"/>
      <c r="C41" s="26"/>
      <c r="D41" s="69">
        <f>Pessoaleducacao100164[[#This Row],[Orçado]]-Pessoaleducacao100164[[#This Row],[Real]]</f>
        <v>0</v>
      </c>
      <c r="E41" s="28"/>
      <c r="F41" s="25" t="s">
        <v>31</v>
      </c>
      <c r="G41" s="26"/>
      <c r="H41" s="26"/>
      <c r="I41" s="69">
        <f>Transporte105169[[#This Row],[Orçado]]-Transporte105169[[#This Row],[Real]]</f>
        <v>0</v>
      </c>
    </row>
    <row r="42" spans="1:11" ht="15.6" x14ac:dyDescent="0.3">
      <c r="A42" s="25" t="s">
        <v>41</v>
      </c>
      <c r="B42" s="26"/>
      <c r="C42" s="26"/>
      <c r="D42" s="69">
        <f>Pessoaleducacao100164[[#This Row],[Orçado]]-Pessoaleducacao100164[[#This Row],[Real]]</f>
        <v>0</v>
      </c>
      <c r="E42" s="28"/>
      <c r="F42" s="25" t="s">
        <v>32</v>
      </c>
      <c r="G42" s="26"/>
      <c r="H42" s="26"/>
      <c r="I42" s="69">
        <f>Transporte105169[[#This Row],[Orçado]]-Transporte105169[[#This Row],[Real]]</f>
        <v>0</v>
      </c>
    </row>
    <row r="43" spans="1:11" ht="15.6" x14ac:dyDescent="0.3">
      <c r="A43" s="25" t="s">
        <v>42</v>
      </c>
      <c r="B43" s="26"/>
      <c r="C43" s="26"/>
      <c r="D43" s="69">
        <f>Pessoaleducacao100164[[#This Row],[Orçado]]-Pessoaleducacao100164[[#This Row],[Real]]</f>
        <v>0</v>
      </c>
      <c r="E43" s="28"/>
      <c r="F43" s="25"/>
      <c r="G43" s="26"/>
      <c r="H43" s="26"/>
      <c r="I43" s="69">
        <f>Transporte105169[[#This Row],[Orçado]]-Transporte105169[[#This Row],[Real]]</f>
        <v>0</v>
      </c>
    </row>
    <row r="44" spans="1:11" ht="15.6" x14ac:dyDescent="0.3">
      <c r="A44" s="25" t="s">
        <v>43</v>
      </c>
      <c r="B44" s="26"/>
      <c r="C44" s="26"/>
      <c r="D44" s="69">
        <f>Pessoaleducacao100164[[#This Row],[Orçado]]-Pessoaleducacao100164[[#This Row],[Real]]</f>
        <v>0</v>
      </c>
      <c r="E44" s="28"/>
      <c r="F44" s="25"/>
      <c r="G44" s="26"/>
      <c r="H44" s="26"/>
      <c r="I44" s="69">
        <f>Transporte105169[[#This Row],[Orçado]]-Transporte105169[[#This Row],[Real]]</f>
        <v>0</v>
      </c>
    </row>
    <row r="45" spans="1:11" ht="15.6" x14ac:dyDescent="0.3">
      <c r="A45" s="25"/>
      <c r="B45" s="26"/>
      <c r="C45" s="26"/>
      <c r="D45" s="69">
        <f>Pessoaleducacao100164[[#This Row],[Orçado]]-Pessoaleducacao100164[[#This Row],[Real]]</f>
        <v>0</v>
      </c>
      <c r="E45" s="28"/>
      <c r="F45" s="29"/>
      <c r="G45" s="30"/>
      <c r="H45" s="30"/>
      <c r="I45" s="69">
        <f>Transporte105169[[#This Row],[Orçado]]-Transporte105169[[#This Row],[Real]]</f>
        <v>0</v>
      </c>
      <c r="J45" s="38"/>
      <c r="K45" s="38"/>
    </row>
    <row r="46" spans="1:11" ht="15.6" x14ac:dyDescent="0.3">
      <c r="A46" s="39" t="s">
        <v>4</v>
      </c>
      <c r="B46" s="40"/>
      <c r="C46" s="40"/>
      <c r="D46" s="69">
        <f>Pessoaleducacao100164[[#This Row],[Orçado]]-Pessoaleducacao100164[[#This Row],[Real]]</f>
        <v>0</v>
      </c>
      <c r="E46" s="28"/>
      <c r="F46" s="25" t="s">
        <v>4</v>
      </c>
      <c r="G46" s="26"/>
      <c r="H46" s="26"/>
      <c r="I46" s="69">
        <f>Transporte105169[[#This Row],[Orçado]]-Transporte105169[[#This Row],[Real]]</f>
        <v>0</v>
      </c>
      <c r="J46" s="38"/>
      <c r="K46" s="38"/>
    </row>
    <row r="47" spans="1:11" ht="18" x14ac:dyDescent="0.3">
      <c r="A47" s="66" t="s">
        <v>5</v>
      </c>
      <c r="B47" s="65">
        <f>SUM(Pessoaleducacao100164[Orçado])</f>
        <v>0</v>
      </c>
      <c r="C47" s="65">
        <f>SUM(Pessoaleducacao100164[Real])</f>
        <v>0</v>
      </c>
      <c r="D47" s="65">
        <f>SUM(Pessoaleducacao100164[Diferença])</f>
        <v>0</v>
      </c>
      <c r="E47" s="28"/>
      <c r="F47" s="66" t="s">
        <v>5</v>
      </c>
      <c r="G47" s="65">
        <f>SUM(Transporte105169[Orçado])</f>
        <v>0</v>
      </c>
      <c r="H47" s="65">
        <f>SUM(Transporte105169[Real])</f>
        <v>0</v>
      </c>
      <c r="I47" s="65">
        <f>SUM(Transporte105169[Diferença])</f>
        <v>0</v>
      </c>
      <c r="J47" s="38"/>
      <c r="K47" s="38"/>
    </row>
    <row r="48" spans="1:11" s="31" customFormat="1" ht="30" customHeight="1" x14ac:dyDescent="0.3">
      <c r="A48" s="99"/>
      <c r="B48" s="99"/>
      <c r="C48" s="99"/>
      <c r="D48" s="99"/>
      <c r="E48" s="37"/>
      <c r="F48" s="5"/>
      <c r="G48" s="5"/>
      <c r="H48" s="5"/>
      <c r="I48" s="5"/>
    </row>
    <row r="49" spans="1:9" ht="30" customHeight="1" x14ac:dyDescent="0.3">
      <c r="A49" s="75" t="s">
        <v>11</v>
      </c>
      <c r="B49" s="68"/>
      <c r="C49" s="68"/>
      <c r="D49" s="68"/>
      <c r="E49" s="28"/>
      <c r="F49" s="75"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Investimentos104168[[#This Row],[Orçado]]-Investimentos104168[[#This Row],[Real]]</f>
        <v>0</v>
      </c>
      <c r="E51" s="28"/>
      <c r="F51" s="35" t="s">
        <v>38</v>
      </c>
      <c r="G51" s="36"/>
      <c r="H51" s="36"/>
      <c r="I51" s="69">
        <f>Outros103167[[#This Row],[Orçado]]-Outros103167[[#This Row],[Real]]</f>
        <v>0</v>
      </c>
    </row>
    <row r="52" spans="1:9" ht="15.6" customHeight="1" x14ac:dyDescent="0.3">
      <c r="A52" s="25" t="s">
        <v>20</v>
      </c>
      <c r="B52" s="30"/>
      <c r="C52" s="30"/>
      <c r="D52" s="69">
        <f>Investimentos104168[[#This Row],[Orçado]]-Investimentos104168[[#This Row],[Real]]</f>
        <v>0</v>
      </c>
      <c r="E52" s="28"/>
      <c r="F52" s="25" t="s">
        <v>39</v>
      </c>
      <c r="G52" s="30"/>
      <c r="H52" s="30"/>
      <c r="I52" s="69">
        <f>Outros103167[[#This Row],[Orçado]]-Outros103167[[#This Row],[Real]]</f>
        <v>0</v>
      </c>
    </row>
    <row r="53" spans="1:9" ht="15.6" customHeight="1" x14ac:dyDescent="0.3">
      <c r="A53" s="25" t="s">
        <v>11</v>
      </c>
      <c r="B53" s="30"/>
      <c r="C53" s="30"/>
      <c r="D53" s="69">
        <f>Investimentos104168[[#This Row],[Orçado]]-Investimentos104168[[#This Row],[Real]]</f>
        <v>0</v>
      </c>
      <c r="E53" s="28"/>
      <c r="F53" s="25"/>
      <c r="G53" s="30"/>
      <c r="H53" s="30"/>
      <c r="I53" s="69">
        <f>Outros103167[[#This Row],[Orçado]]-Outros103167[[#This Row],[Real]]</f>
        <v>0</v>
      </c>
    </row>
    <row r="54" spans="1:9" ht="15.6" customHeight="1" x14ac:dyDescent="0.3">
      <c r="A54" s="25"/>
      <c r="B54" s="26"/>
      <c r="C54" s="26"/>
      <c r="D54" s="69">
        <f>Investimentos104168[[#This Row],[Orçado]]-Investimentos104168[[#This Row],[Real]]</f>
        <v>0</v>
      </c>
      <c r="E54" s="28"/>
      <c r="F54" s="25"/>
      <c r="G54" s="26"/>
      <c r="H54" s="26"/>
      <c r="I54" s="69">
        <f>Outros103167[[#This Row],[Orçado]]-Outros103167[[#This Row],[Real]]</f>
        <v>0</v>
      </c>
    </row>
    <row r="55" spans="1:9" s="31" customFormat="1" ht="15.6" customHeight="1" x14ac:dyDescent="0.3">
      <c r="A55" s="29"/>
      <c r="B55" s="30"/>
      <c r="C55" s="30"/>
      <c r="D55" s="69">
        <f>Investimentos104168[[#This Row],[Orçado]]-Investimentos104168[[#This Row],[Real]]</f>
        <v>0</v>
      </c>
      <c r="E55" s="37"/>
      <c r="F55" s="29"/>
      <c r="G55" s="30"/>
      <c r="H55" s="30"/>
      <c r="I55" s="69">
        <f>Outros103167[[#This Row],[Orçado]]-Outros103167[[#This Row],[Real]]</f>
        <v>0</v>
      </c>
    </row>
    <row r="56" spans="1:9" s="31" customFormat="1" ht="15.6" x14ac:dyDescent="0.3">
      <c r="A56" s="29"/>
      <c r="B56" s="30"/>
      <c r="C56" s="30"/>
      <c r="D56" s="69">
        <f>Investimentos104168[[#This Row],[Orçado]]-Investimentos104168[[#This Row],[Real]]</f>
        <v>0</v>
      </c>
      <c r="E56" s="37"/>
      <c r="F56" s="29"/>
      <c r="G56" s="30"/>
      <c r="H56" s="30"/>
      <c r="I56" s="69">
        <f>Outros103167[[#This Row],[Orçado]]-Outros103167[[#This Row],[Real]]</f>
        <v>0</v>
      </c>
    </row>
    <row r="57" spans="1:9" s="31" customFormat="1" ht="15.6" x14ac:dyDescent="0.3">
      <c r="A57" s="25" t="s">
        <v>4</v>
      </c>
      <c r="B57" s="26"/>
      <c r="C57" s="26"/>
      <c r="D57" s="69">
        <f>Investimentos104168[[#This Row],[Orçado]]-Investimentos104168[[#This Row],[Real]]</f>
        <v>0</v>
      </c>
      <c r="E57" s="37"/>
      <c r="F57" s="25" t="s">
        <v>4</v>
      </c>
      <c r="G57" s="26"/>
      <c r="H57" s="26"/>
      <c r="I57" s="69">
        <f>Outros103167[[#This Row],[Orçado]]-Outros103167[[#This Row],[Real]]</f>
        <v>0</v>
      </c>
    </row>
    <row r="58" spans="1:9" ht="18" x14ac:dyDescent="0.3">
      <c r="A58" s="64" t="s">
        <v>5</v>
      </c>
      <c r="B58" s="65">
        <f>SUM(Investimentos104168[Orçado])</f>
        <v>0</v>
      </c>
      <c r="C58" s="65">
        <f>SUM(Investimentos104168[Real])</f>
        <v>0</v>
      </c>
      <c r="D58" s="65">
        <f>SUM(Investimentos104168[Diferença])</f>
        <v>0</v>
      </c>
      <c r="E58" s="28"/>
      <c r="F58" s="64" t="s">
        <v>5</v>
      </c>
      <c r="G58" s="65">
        <f>SUM(Outros103167[Orçado])</f>
        <v>0</v>
      </c>
      <c r="H58" s="65">
        <f>SUM(Outros103167[Real])</f>
        <v>0</v>
      </c>
      <c r="I58" s="65">
        <f>SUM(Outros103167[Diferença])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sQo5F1G4A9YHJ6ICV8LRLrJ+yKbxo7rqs1fJUc0woRjGJJUCRUr/Kf216TBL1jnbzx20PttfUchnTu2hVTQ/Jg==" saltValue="qOFlJ+rH2E9Sqbb+5HYgeg==" spinCount="100000" sheet="1" objects="1" scenarios="1" selectLockedCells="1"/>
  <mergeCells count="17">
    <mergeCell ref="A48:D48"/>
    <mergeCell ref="A61:D61"/>
    <mergeCell ref="F6:F7"/>
    <mergeCell ref="A38:D38"/>
    <mergeCell ref="H2:I2"/>
    <mergeCell ref="A16:D16"/>
    <mergeCell ref="A2:G2"/>
    <mergeCell ref="A4:B4"/>
    <mergeCell ref="A27:D27"/>
    <mergeCell ref="A11:B11"/>
    <mergeCell ref="D12:F13"/>
    <mergeCell ref="G12:G13"/>
    <mergeCell ref="D6:E7"/>
    <mergeCell ref="D8:E9"/>
    <mergeCell ref="F8:F9"/>
    <mergeCell ref="H4:I10"/>
    <mergeCell ref="H13:I15"/>
  </mergeCells>
  <conditionalFormatting sqref="J6:J9">
    <cfRule type="containsText" dxfId="347" priority="5" operator="containsText" text="Atenção! Cuidado com sua saúde financeira">
      <formula>NOT(ISERROR(SEARCH("Atenção! Cuidado com sua saúde financeira",J6)))</formula>
    </cfRule>
  </conditionalFormatting>
  <conditionalFormatting sqref="C14">
    <cfRule type="containsText" dxfId="346" priority="3" operator="containsText" text="Você está dentro do orçamento">
      <formula>NOT(ISERROR(SEARCH("Você está dentro do orçamento",C14)))</formula>
    </cfRule>
    <cfRule type="containsText" dxfId="345" priority="4" operator="containsText" text="Você está fora do orçamento">
      <formula>NOT(ISERROR(SEARCH("Você está fora do orçamento",C14)))</formula>
    </cfRule>
  </conditionalFormatting>
  <conditionalFormatting sqref="H4 J4:L10">
    <cfRule type="containsText" dxfId="344"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343" priority="1" stopIfTrue="1" operator="containsText" text="Atenção! Cuidado com sua saúde financeira">
      <formula>NOT(ISERROR(SEARCH("Atenção! Cuidado com sua saúde financeira",H4)))</formula>
    </cfRule>
    <cfRule type="containsText" dxfId="342"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B9" unlockedFormula="1"/>
  </ignoredErrors>
  <drawing r:id="rId2"/>
  <tableParts count="8">
    <tablePart r:id="rId3"/>
    <tablePart r:id="rId4"/>
    <tablePart r:id="rId5"/>
    <tablePart r:id="rId6"/>
    <tablePart r:id="rId7"/>
    <tablePart r:id="rId8"/>
    <tablePart r:id="rId9"/>
    <tablePart r:id="rId10"/>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DE830-7FEC-4263-9A8E-D6014A5EC341}">
  <sheetPr>
    <tabColor theme="5"/>
    <pageSetUpPr autoPageBreaks="0" fitToPage="1"/>
  </sheetPr>
  <dimension ref="A1:Q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7" s="13" customFormat="1" ht="19.95" customHeight="1" x14ac:dyDescent="0.45">
      <c r="A1" s="12">
        <f ca="1">NOW()</f>
        <v>44791.47886412037</v>
      </c>
    </row>
    <row r="2" spans="1:17" s="13" customFormat="1" ht="94.8" customHeight="1" x14ac:dyDescent="0.3">
      <c r="A2" s="92" t="s">
        <v>66</v>
      </c>
      <c r="B2" s="92"/>
      <c r="C2" s="92"/>
      <c r="D2" s="92"/>
      <c r="E2" s="92"/>
      <c r="F2" s="92"/>
      <c r="G2" s="92"/>
      <c r="H2" s="84"/>
      <c r="I2" s="85"/>
      <c r="J2" s="77"/>
      <c r="K2" s="77"/>
      <c r="L2" s="77"/>
    </row>
    <row r="3" spans="1:17" s="15" customFormat="1" ht="15" customHeight="1" x14ac:dyDescent="0.3"/>
    <row r="4" spans="1:17"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row>
    <row r="5" spans="1:17" s="15" customFormat="1" ht="15.6" customHeight="1" x14ac:dyDescent="0.3">
      <c r="A5" s="6" t="s">
        <v>12</v>
      </c>
      <c r="B5" s="7">
        <v>100</v>
      </c>
      <c r="H5" s="91"/>
      <c r="I5" s="91"/>
      <c r="K5" s="76" t="str">
        <f>IF(I8&gt;0,"Parabéns! Invista na Mais Previdência", IF(I8&lt;0,"Atenção! Cuidado com sua saúde financeira.",""))</f>
        <v/>
      </c>
      <c r="L5" s="76"/>
    </row>
    <row r="6" spans="1:17" s="15" customFormat="1" ht="15.6" customHeight="1" x14ac:dyDescent="0.3">
      <c r="A6" s="8" t="s">
        <v>0</v>
      </c>
      <c r="B6" s="9">
        <v>10</v>
      </c>
      <c r="D6" s="93" t="s">
        <v>49</v>
      </c>
      <c r="E6" s="93"/>
      <c r="F6" s="88">
        <f>B9-B12</f>
        <v>220</v>
      </c>
      <c r="H6" s="91"/>
      <c r="I6" s="91"/>
      <c r="J6" s="62"/>
      <c r="K6" s="76"/>
      <c r="L6" s="76"/>
    </row>
    <row r="7" spans="1:17" s="15" customFormat="1" ht="15.6" customHeight="1" x14ac:dyDescent="0.3">
      <c r="A7" s="8" t="s">
        <v>13</v>
      </c>
      <c r="B7" s="9">
        <v>10</v>
      </c>
      <c r="D7" s="93"/>
      <c r="E7" s="93"/>
      <c r="F7" s="88"/>
      <c r="H7" s="91"/>
      <c r="I7" s="91"/>
      <c r="J7" s="62"/>
      <c r="K7" s="76"/>
      <c r="L7" s="76"/>
    </row>
    <row r="8" spans="1:17" s="15" customFormat="1" ht="15.6" customHeight="1" x14ac:dyDescent="0.3">
      <c r="A8" s="8" t="s">
        <v>14</v>
      </c>
      <c r="B8" s="9">
        <v>100</v>
      </c>
      <c r="D8" s="94" t="s">
        <v>50</v>
      </c>
      <c r="E8" s="94"/>
      <c r="F8" s="95">
        <f>B9-B13</f>
        <v>220</v>
      </c>
      <c r="H8" s="91"/>
      <c r="I8" s="91"/>
      <c r="J8" s="62"/>
      <c r="K8" s="76"/>
      <c r="L8" s="76"/>
    </row>
    <row r="9" spans="1:17" s="15" customFormat="1" ht="18" customHeight="1" x14ac:dyDescent="0.3">
      <c r="A9" s="10" t="s">
        <v>1</v>
      </c>
      <c r="B9" s="11">
        <f>SUM(B5:B8)</f>
        <v>220</v>
      </c>
      <c r="D9" s="94"/>
      <c r="E9" s="94"/>
      <c r="F9" s="95"/>
      <c r="G9" s="60"/>
      <c r="H9" s="91"/>
      <c r="I9" s="91"/>
      <c r="J9" s="62"/>
      <c r="K9" s="76"/>
      <c r="L9" s="76"/>
    </row>
    <row r="10" spans="1:17" s="15" customFormat="1" ht="30" customHeight="1" x14ac:dyDescent="0.3">
      <c r="A10" s="5"/>
      <c r="B10" s="5"/>
      <c r="D10" s="61"/>
      <c r="E10" s="61"/>
      <c r="F10" s="61"/>
      <c r="G10" s="60"/>
      <c r="H10" s="91"/>
      <c r="I10" s="91"/>
      <c r="J10" s="17"/>
      <c r="K10" s="76"/>
      <c r="L10" s="76"/>
    </row>
    <row r="11" spans="1:17" s="15" customFormat="1" ht="30" customHeight="1" x14ac:dyDescent="0.3">
      <c r="A11" s="86" t="s">
        <v>48</v>
      </c>
      <c r="B11" s="87"/>
      <c r="C11" s="16"/>
      <c r="D11" s="61"/>
      <c r="E11" s="61"/>
      <c r="F11" s="61"/>
      <c r="G11" s="60"/>
      <c r="I11" s="79"/>
      <c r="J11" s="79"/>
      <c r="K11" s="79"/>
      <c r="L11" s="79"/>
    </row>
    <row r="12" spans="1:17" s="15" customFormat="1" ht="15.6" customHeight="1" x14ac:dyDescent="0.3">
      <c r="A12" s="73" t="s">
        <v>16</v>
      </c>
      <c r="B12" s="72">
        <f>SUM(Moradia102174[Orçado],Lazer101173[Orçado],Saúde99171[Orçado],Alimentação98170[Orçado],Pessoaleducacao100172[Orçado],Transporte105177[Orçado],Investimentos104176[Orçado],Outros103175[Orçado])</f>
        <v>0</v>
      </c>
      <c r="D12" s="100"/>
      <c r="E12" s="100"/>
      <c r="F12" s="100"/>
      <c r="G12" s="89"/>
      <c r="H12" s="79"/>
      <c r="I12" s="79"/>
      <c r="J12" s="79"/>
      <c r="K12" s="79"/>
      <c r="L12" s="79"/>
    </row>
    <row r="13" spans="1:17" s="15" customFormat="1" ht="15.6" customHeight="1" x14ac:dyDescent="0.3">
      <c r="A13" s="74" t="s">
        <v>17</v>
      </c>
      <c r="B13" s="69">
        <f>SUM(Moradia102174[Real],Lazer101173[Real],Saúde99171[Real],Alimentação98170[Real],Pessoaleducacao100172[Real],Transporte105177[Real],Investimentos104176[Real],Outros103175[Real])</f>
        <v>0</v>
      </c>
      <c r="D13" s="100"/>
      <c r="E13" s="100"/>
      <c r="F13" s="100"/>
      <c r="G13" s="89"/>
      <c r="H13" s="84" t="s">
        <v>68</v>
      </c>
      <c r="I13" s="84"/>
      <c r="J13" s="79"/>
      <c r="K13" s="79"/>
      <c r="L13" s="79"/>
    </row>
    <row r="14" spans="1:17" s="15" customFormat="1" ht="18" x14ac:dyDescent="0.3">
      <c r="A14" s="70" t="s">
        <v>10</v>
      </c>
      <c r="B14" s="63">
        <f>B12-B13</f>
        <v>0</v>
      </c>
      <c r="C14" s="71" t="str">
        <f>IF(B14&gt;0,"Você está dentro do orçamento", IF(B14&lt;0,"Você está fora do orçamento",""))</f>
        <v/>
      </c>
      <c r="H14" s="84"/>
      <c r="I14" s="84"/>
    </row>
    <row r="15" spans="1:17" ht="37.799999999999997" customHeight="1" x14ac:dyDescent="0.3">
      <c r="A15" s="18"/>
      <c r="B15" s="19"/>
      <c r="H15" s="84"/>
      <c r="I15" s="84"/>
    </row>
    <row r="16" spans="1:17" ht="30" customHeight="1" x14ac:dyDescent="0.3">
      <c r="A16" s="101" t="s">
        <v>2</v>
      </c>
      <c r="B16" s="101"/>
      <c r="C16" s="101"/>
      <c r="D16" s="101"/>
      <c r="E16" s="20"/>
      <c r="F16" s="75"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Moradia102174[[#This Row],[Orçado]]-Moradia102174[[#This Row],[Real]]</f>
        <v>0</v>
      </c>
      <c r="E18" s="27"/>
      <c r="F18" s="25" t="s">
        <v>26</v>
      </c>
      <c r="G18" s="26"/>
      <c r="H18" s="26"/>
      <c r="I18" s="69">
        <f>Lazer101173[[#This Row],[Orçado]]-Lazer101173[[#This Row],[Real]]</f>
        <v>0</v>
      </c>
      <c r="M18" s="78"/>
      <c r="N18" s="78"/>
      <c r="O18" s="78"/>
      <c r="P18" s="78"/>
      <c r="Q18" s="78"/>
    </row>
    <row r="19" spans="1:17" ht="15.6" x14ac:dyDescent="0.3">
      <c r="A19" s="25" t="s">
        <v>22</v>
      </c>
      <c r="B19" s="26"/>
      <c r="C19" s="26"/>
      <c r="D19" s="69">
        <f>Moradia102174[[#This Row],[Orçado]]-Moradia102174[[#This Row],[Real]]</f>
        <v>0</v>
      </c>
      <c r="E19" s="28"/>
      <c r="F19" s="25" t="s">
        <v>27</v>
      </c>
      <c r="G19" s="26"/>
      <c r="H19" s="26"/>
      <c r="I19" s="69">
        <f>Lazer101173[[#This Row],[Orçado]]-Lazer101173[[#This Row],[Real]]</f>
        <v>0</v>
      </c>
      <c r="M19" s="78"/>
      <c r="N19" s="78"/>
      <c r="O19" s="78"/>
      <c r="P19" s="78"/>
      <c r="Q19" s="78"/>
    </row>
    <row r="20" spans="1:17" ht="15.6" x14ac:dyDescent="0.3">
      <c r="A20" s="25" t="s">
        <v>23</v>
      </c>
      <c r="B20" s="26"/>
      <c r="C20" s="26"/>
      <c r="D20" s="69">
        <f>Moradia102174[[#This Row],[Orçado]]-Moradia102174[[#This Row],[Real]]</f>
        <v>0</v>
      </c>
      <c r="E20" s="28"/>
      <c r="F20" s="25" t="s">
        <v>34</v>
      </c>
      <c r="G20" s="26"/>
      <c r="H20" s="26"/>
      <c r="I20" s="69">
        <f>Lazer101173[[#This Row],[Orçado]]-Lazer101173[[#This Row],[Real]]</f>
        <v>0</v>
      </c>
      <c r="M20" s="78"/>
      <c r="N20" s="78"/>
      <c r="O20" s="78"/>
      <c r="P20" s="78"/>
      <c r="Q20" s="78"/>
    </row>
    <row r="21" spans="1:17" ht="15.6" x14ac:dyDescent="0.3">
      <c r="A21" s="25" t="s">
        <v>24</v>
      </c>
      <c r="B21" s="26"/>
      <c r="C21" s="26"/>
      <c r="D21" s="69">
        <f>Moradia102174[[#This Row],[Orçado]]-Moradia102174[[#This Row],[Real]]</f>
        <v>0</v>
      </c>
      <c r="E21" s="28"/>
      <c r="F21" s="25"/>
      <c r="G21" s="26"/>
      <c r="H21" s="26"/>
      <c r="I21" s="69">
        <f>Lazer101173[[#This Row],[Orçado]]-Lazer101173[[#This Row],[Real]]</f>
        <v>0</v>
      </c>
    </row>
    <row r="22" spans="1:17" ht="15.6" x14ac:dyDescent="0.3">
      <c r="A22" s="25" t="s">
        <v>25</v>
      </c>
      <c r="B22" s="26"/>
      <c r="C22" s="26"/>
      <c r="D22" s="69">
        <f>Moradia102174[[#This Row],[Orçado]]-Moradia102174[[#This Row],[Real]]</f>
        <v>0</v>
      </c>
      <c r="E22" s="28"/>
      <c r="F22" s="25"/>
      <c r="G22" s="26"/>
      <c r="H22" s="26"/>
      <c r="I22" s="69">
        <f>Lazer101173[[#This Row],[Orçado]]-Lazer101173[[#This Row],[Real]]</f>
        <v>0</v>
      </c>
    </row>
    <row r="23" spans="1:17" ht="15.6" x14ac:dyDescent="0.3">
      <c r="A23" s="25"/>
      <c r="B23" s="26"/>
      <c r="C23" s="26"/>
      <c r="D23" s="69">
        <f>Moradia102174[[#This Row],[Orçado]]-Moradia102174[[#This Row],[Real]]</f>
        <v>0</v>
      </c>
      <c r="E23" s="28"/>
      <c r="F23" s="29"/>
      <c r="G23" s="30"/>
      <c r="H23" s="30"/>
      <c r="I23" s="69">
        <f>Lazer101173[[#This Row],[Orçado]]-Lazer101173[[#This Row],[Real]]</f>
        <v>0</v>
      </c>
    </row>
    <row r="24" spans="1:17" ht="15.6" x14ac:dyDescent="0.3">
      <c r="A24" s="25" t="s">
        <v>4</v>
      </c>
      <c r="B24" s="26"/>
      <c r="C24" s="26"/>
      <c r="D24" s="69">
        <f>Moradia102174[[#This Row],[Orçado]]-Moradia102174[[#This Row],[Real]]</f>
        <v>0</v>
      </c>
      <c r="E24" s="28"/>
      <c r="F24" s="25" t="s">
        <v>4</v>
      </c>
      <c r="G24" s="26"/>
      <c r="H24" s="26"/>
      <c r="I24" s="69">
        <f>Lazer101173[[#This Row],[Orçado]]-Lazer101173[[#This Row],[Real]]</f>
        <v>0</v>
      </c>
    </row>
    <row r="25" spans="1:17" ht="18" x14ac:dyDescent="0.3">
      <c r="A25" s="66" t="s">
        <v>5</v>
      </c>
      <c r="B25" s="65">
        <f>SUM(Moradia102174[Orçado])</f>
        <v>0</v>
      </c>
      <c r="C25" s="65">
        <f>SUM(Moradia102174[Real])</f>
        <v>0</v>
      </c>
      <c r="D25" s="65">
        <f>SUM(Moradia102174[Diferença])</f>
        <v>0</v>
      </c>
      <c r="E25" s="28"/>
      <c r="F25" s="66" t="s">
        <v>5</v>
      </c>
      <c r="G25" s="65">
        <f>SUM(Lazer101173[Orçado])</f>
        <v>0</v>
      </c>
      <c r="H25" s="65">
        <f>SUM(Lazer101173[Real])</f>
        <v>0</v>
      </c>
      <c r="I25" s="65">
        <f>SUM(Lazer101173[Diferença])</f>
        <v>0</v>
      </c>
    </row>
    <row r="26" spans="1:17" ht="37.799999999999997" customHeight="1" x14ac:dyDescent="0.3">
      <c r="A26" s="18"/>
      <c r="B26" s="19"/>
    </row>
    <row r="27" spans="1:17" ht="30" customHeight="1" x14ac:dyDescent="0.3">
      <c r="A27" s="101" t="s">
        <v>7</v>
      </c>
      <c r="B27" s="101"/>
      <c r="C27" s="101"/>
      <c r="D27" s="101"/>
      <c r="E27" s="20"/>
      <c r="F27" s="75"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Saúde99171[[#This Row],[Orçado]]-Saúde99171[[#This Row],[Real]]</f>
        <v>0</v>
      </c>
      <c r="E29" s="27"/>
      <c r="F29" s="25" t="s">
        <v>8</v>
      </c>
      <c r="G29" s="26"/>
      <c r="H29" s="26"/>
      <c r="I29" s="69">
        <f>Alimentação98170[[#This Row],[Orçado]]-Alimentação98170[[#This Row],[Real]]</f>
        <v>0</v>
      </c>
    </row>
    <row r="30" spans="1:17" ht="15.6" x14ac:dyDescent="0.3">
      <c r="A30" s="25" t="s">
        <v>29</v>
      </c>
      <c r="B30" s="26"/>
      <c r="C30" s="26"/>
      <c r="D30" s="69">
        <f>Saúde99171[[#This Row],[Orçado]]-Saúde99171[[#This Row],[Real]]</f>
        <v>0</v>
      </c>
      <c r="E30" s="28"/>
      <c r="F30" s="25" t="s">
        <v>37</v>
      </c>
      <c r="G30" s="26"/>
      <c r="H30" s="26"/>
      <c r="I30" s="69">
        <f>Alimentação98170[[#This Row],[Orçado]]-Alimentação98170[[#This Row],[Real]]</f>
        <v>0</v>
      </c>
    </row>
    <row r="31" spans="1:17" ht="15.6" x14ac:dyDescent="0.3">
      <c r="A31" s="25" t="s">
        <v>35</v>
      </c>
      <c r="B31" s="26"/>
      <c r="C31" s="26"/>
      <c r="D31" s="69">
        <f>Saúde99171[[#This Row],[Orçado]]-Saúde99171[[#This Row],[Real]]</f>
        <v>0</v>
      </c>
      <c r="E31" s="28"/>
      <c r="F31" s="25"/>
      <c r="G31" s="26"/>
      <c r="H31" s="26"/>
      <c r="I31" s="69">
        <f>Alimentação98170[[#This Row],[Orçado]]-Alimentação98170[[#This Row],[Real]]</f>
        <v>0</v>
      </c>
    </row>
    <row r="32" spans="1:17" ht="15.6" x14ac:dyDescent="0.3">
      <c r="A32" s="25"/>
      <c r="B32" s="26"/>
      <c r="C32" s="26"/>
      <c r="D32" s="69">
        <f>Saúde99171[[#This Row],[Orçado]]-Saúde99171[[#This Row],[Real]]</f>
        <v>0</v>
      </c>
      <c r="E32" s="28"/>
      <c r="F32" s="25"/>
      <c r="G32" s="26"/>
      <c r="H32" s="26"/>
      <c r="I32" s="69">
        <f>Alimentação98170[[#This Row],[Orçado]]-Alimentação98170[[#This Row],[Real]]</f>
        <v>0</v>
      </c>
    </row>
    <row r="33" spans="1:11" ht="15.6" x14ac:dyDescent="0.3">
      <c r="A33" s="25"/>
      <c r="B33" s="26"/>
      <c r="C33" s="26"/>
      <c r="D33" s="69">
        <f>Saúde99171[[#This Row],[Orçado]]-Saúde99171[[#This Row],[Real]]</f>
        <v>0</v>
      </c>
      <c r="E33" s="28"/>
      <c r="F33" s="25"/>
      <c r="G33" s="26"/>
      <c r="H33" s="26"/>
      <c r="I33" s="69">
        <f>Alimentação98170[[#This Row],[Orçado]]-Alimentação98170[[#This Row],[Real]]</f>
        <v>0</v>
      </c>
    </row>
    <row r="34" spans="1:11" ht="15.6" x14ac:dyDescent="0.3">
      <c r="A34" s="25"/>
      <c r="B34" s="26"/>
      <c r="C34" s="26"/>
      <c r="D34" s="69">
        <f>Saúde99171[[#This Row],[Orçado]]-Saúde99171[[#This Row],[Real]]</f>
        <v>0</v>
      </c>
      <c r="E34" s="28"/>
      <c r="F34" s="29"/>
      <c r="G34" s="30"/>
      <c r="H34" s="30"/>
      <c r="I34" s="69">
        <f>Alimentação98170[[#This Row],[Orçado]]-Alimentação98170[[#This Row],[Real]]</f>
        <v>0</v>
      </c>
    </row>
    <row r="35" spans="1:11" ht="15.6" x14ac:dyDescent="0.3">
      <c r="A35" s="25" t="s">
        <v>4</v>
      </c>
      <c r="B35" s="26"/>
      <c r="C35" s="26"/>
      <c r="D35" s="69">
        <f>Saúde99171[[#This Row],[Orçado]]-Saúde99171[[#This Row],[Real]]</f>
        <v>0</v>
      </c>
      <c r="E35" s="28"/>
      <c r="F35" s="25" t="s">
        <v>4</v>
      </c>
      <c r="G35" s="26"/>
      <c r="H35" s="26"/>
      <c r="I35" s="69">
        <f>Alimentação98170[[#This Row],[Orçado]]-Alimentação98170[[#This Row],[Real]]</f>
        <v>0</v>
      </c>
    </row>
    <row r="36" spans="1:11" ht="18" x14ac:dyDescent="0.3">
      <c r="A36" s="66" t="s">
        <v>5</v>
      </c>
      <c r="B36" s="65">
        <f>SUM(Saúde99171[Orçado])</f>
        <v>0</v>
      </c>
      <c r="C36" s="65">
        <f>SUM(Saúde99171[Real])</f>
        <v>0</v>
      </c>
      <c r="D36" s="65">
        <f>SUM(Saúde99171[Diferença])</f>
        <v>0</v>
      </c>
      <c r="E36" s="28"/>
      <c r="F36" s="66" t="s">
        <v>5</v>
      </c>
      <c r="G36" s="65">
        <f>SUM(Alimentação98170[Orçado])</f>
        <v>0</v>
      </c>
      <c r="H36" s="65">
        <f>SUM(Alimentação98170[Real])</f>
        <v>0</v>
      </c>
      <c r="I36" s="65">
        <f>SUM(Alimentação98170[Diferença])</f>
        <v>0</v>
      </c>
    </row>
    <row r="37" spans="1:11" ht="30" customHeight="1" x14ac:dyDescent="0.3">
      <c r="A37" s="32"/>
      <c r="B37" s="33"/>
      <c r="C37" s="33"/>
      <c r="D37" s="34"/>
      <c r="E37" s="28"/>
    </row>
    <row r="38" spans="1:11" ht="30" customHeight="1" x14ac:dyDescent="0.3">
      <c r="A38" s="101" t="s">
        <v>40</v>
      </c>
      <c r="B38" s="101"/>
      <c r="C38" s="101"/>
      <c r="D38" s="101"/>
      <c r="E38" s="28"/>
      <c r="F38" s="75"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Pessoaleducacao100172[[#This Row],[Orçado]]-Pessoaleducacao100172[[#This Row],[Real]]</f>
        <v>0</v>
      </c>
      <c r="E40" s="37"/>
      <c r="F40" s="25" t="s">
        <v>30</v>
      </c>
      <c r="G40" s="26"/>
      <c r="H40" s="26"/>
      <c r="I40" s="69">
        <f>Transporte105177[[#This Row],[Orçado]]-Transporte105177[[#This Row],[Real]]</f>
        <v>0</v>
      </c>
    </row>
    <row r="41" spans="1:11" ht="15.6" x14ac:dyDescent="0.3">
      <c r="A41" s="25" t="s">
        <v>9</v>
      </c>
      <c r="B41" s="26"/>
      <c r="C41" s="26"/>
      <c r="D41" s="69">
        <f>Pessoaleducacao100172[[#This Row],[Orçado]]-Pessoaleducacao100172[[#This Row],[Real]]</f>
        <v>0</v>
      </c>
      <c r="E41" s="28"/>
      <c r="F41" s="25" t="s">
        <v>31</v>
      </c>
      <c r="G41" s="26"/>
      <c r="H41" s="26"/>
      <c r="I41" s="69">
        <f>Transporte105177[[#This Row],[Orçado]]-Transporte105177[[#This Row],[Real]]</f>
        <v>0</v>
      </c>
    </row>
    <row r="42" spans="1:11" ht="15.6" x14ac:dyDescent="0.3">
      <c r="A42" s="25" t="s">
        <v>41</v>
      </c>
      <c r="B42" s="26"/>
      <c r="C42" s="26"/>
      <c r="D42" s="69">
        <f>Pessoaleducacao100172[[#This Row],[Orçado]]-Pessoaleducacao100172[[#This Row],[Real]]</f>
        <v>0</v>
      </c>
      <c r="E42" s="28"/>
      <c r="F42" s="25" t="s">
        <v>32</v>
      </c>
      <c r="G42" s="26"/>
      <c r="H42" s="26"/>
      <c r="I42" s="69">
        <f>Transporte105177[[#This Row],[Orçado]]-Transporte105177[[#This Row],[Real]]</f>
        <v>0</v>
      </c>
    </row>
    <row r="43" spans="1:11" ht="15.6" x14ac:dyDescent="0.3">
      <c r="A43" s="25" t="s">
        <v>42</v>
      </c>
      <c r="B43" s="26"/>
      <c r="C43" s="26"/>
      <c r="D43" s="69">
        <f>Pessoaleducacao100172[[#This Row],[Orçado]]-Pessoaleducacao100172[[#This Row],[Real]]</f>
        <v>0</v>
      </c>
      <c r="E43" s="28"/>
      <c r="F43" s="25"/>
      <c r="G43" s="26"/>
      <c r="H43" s="26"/>
      <c r="I43" s="69">
        <f>Transporte105177[[#This Row],[Orçado]]-Transporte105177[[#This Row],[Real]]</f>
        <v>0</v>
      </c>
    </row>
    <row r="44" spans="1:11" ht="15.6" x14ac:dyDescent="0.3">
      <c r="A44" s="25" t="s">
        <v>43</v>
      </c>
      <c r="B44" s="26"/>
      <c r="C44" s="26"/>
      <c r="D44" s="69">
        <f>Pessoaleducacao100172[[#This Row],[Orçado]]-Pessoaleducacao100172[[#This Row],[Real]]</f>
        <v>0</v>
      </c>
      <c r="E44" s="28"/>
      <c r="F44" s="25"/>
      <c r="G44" s="26"/>
      <c r="H44" s="26"/>
      <c r="I44" s="69">
        <f>Transporte105177[[#This Row],[Orçado]]-Transporte105177[[#This Row],[Real]]</f>
        <v>0</v>
      </c>
    </row>
    <row r="45" spans="1:11" ht="15.6" x14ac:dyDescent="0.3">
      <c r="A45" s="25"/>
      <c r="B45" s="26"/>
      <c r="C45" s="26"/>
      <c r="D45" s="69">
        <f>Pessoaleducacao100172[[#This Row],[Orçado]]-Pessoaleducacao100172[[#This Row],[Real]]</f>
        <v>0</v>
      </c>
      <c r="E45" s="28"/>
      <c r="F45" s="29"/>
      <c r="G45" s="30"/>
      <c r="H45" s="30"/>
      <c r="I45" s="69">
        <f>Transporte105177[[#This Row],[Orçado]]-Transporte105177[[#This Row],[Real]]</f>
        <v>0</v>
      </c>
      <c r="J45" s="38"/>
      <c r="K45" s="38"/>
    </row>
    <row r="46" spans="1:11" ht="15.6" x14ac:dyDescent="0.3">
      <c r="A46" s="39" t="s">
        <v>4</v>
      </c>
      <c r="B46" s="40"/>
      <c r="C46" s="40"/>
      <c r="D46" s="69">
        <f>Pessoaleducacao100172[[#This Row],[Orçado]]-Pessoaleducacao100172[[#This Row],[Real]]</f>
        <v>0</v>
      </c>
      <c r="E46" s="28"/>
      <c r="F46" s="25" t="s">
        <v>4</v>
      </c>
      <c r="G46" s="26"/>
      <c r="H46" s="26"/>
      <c r="I46" s="69">
        <f>Transporte105177[[#This Row],[Orçado]]-Transporte105177[[#This Row],[Real]]</f>
        <v>0</v>
      </c>
      <c r="J46" s="38"/>
      <c r="K46" s="38"/>
    </row>
    <row r="47" spans="1:11" ht="18" x14ac:dyDescent="0.3">
      <c r="A47" s="66" t="s">
        <v>5</v>
      </c>
      <c r="B47" s="65">
        <f>SUM(Pessoaleducacao100172[Orçado])</f>
        <v>0</v>
      </c>
      <c r="C47" s="65">
        <f>SUM(Pessoaleducacao100172[Real])</f>
        <v>0</v>
      </c>
      <c r="D47" s="65">
        <f>SUM(Pessoaleducacao100172[Diferença])</f>
        <v>0</v>
      </c>
      <c r="E47" s="28"/>
      <c r="F47" s="66" t="s">
        <v>5</v>
      </c>
      <c r="G47" s="65">
        <f>SUM(Transporte105177[Orçado])</f>
        <v>0</v>
      </c>
      <c r="H47" s="65">
        <f>SUM(Transporte105177[Real])</f>
        <v>0</v>
      </c>
      <c r="I47" s="65">
        <f>SUM(Transporte105177[Diferença])</f>
        <v>0</v>
      </c>
      <c r="J47" s="38"/>
      <c r="K47" s="38"/>
    </row>
    <row r="48" spans="1:11" s="31" customFormat="1" ht="30" customHeight="1" x14ac:dyDescent="0.3">
      <c r="A48" s="99"/>
      <c r="B48" s="99"/>
      <c r="C48" s="99"/>
      <c r="D48" s="99"/>
      <c r="E48" s="37"/>
      <c r="F48" s="5"/>
      <c r="G48" s="5"/>
      <c r="H48" s="5"/>
      <c r="I48" s="5"/>
    </row>
    <row r="49" spans="1:9" ht="30" customHeight="1" x14ac:dyDescent="0.3">
      <c r="A49" s="75" t="s">
        <v>11</v>
      </c>
      <c r="B49" s="68"/>
      <c r="C49" s="68"/>
      <c r="D49" s="68"/>
      <c r="E49" s="28"/>
      <c r="F49" s="75"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Investimentos104176[[#This Row],[Orçado]]-Investimentos104176[[#This Row],[Real]]</f>
        <v>0</v>
      </c>
      <c r="E51" s="28"/>
      <c r="F51" s="35" t="s">
        <v>38</v>
      </c>
      <c r="G51" s="36"/>
      <c r="H51" s="36"/>
      <c r="I51" s="69">
        <f>Outros103175[[#This Row],[Orçado]]-Outros103175[[#This Row],[Real]]</f>
        <v>0</v>
      </c>
    </row>
    <row r="52" spans="1:9" ht="15.6" customHeight="1" x14ac:dyDescent="0.3">
      <c r="A52" s="25" t="s">
        <v>20</v>
      </c>
      <c r="B52" s="30"/>
      <c r="C52" s="30"/>
      <c r="D52" s="69">
        <f>Investimentos104176[[#This Row],[Orçado]]-Investimentos104176[[#This Row],[Real]]</f>
        <v>0</v>
      </c>
      <c r="E52" s="28"/>
      <c r="F52" s="25" t="s">
        <v>39</v>
      </c>
      <c r="G52" s="30"/>
      <c r="H52" s="30"/>
      <c r="I52" s="69">
        <f>Outros103175[[#This Row],[Orçado]]-Outros103175[[#This Row],[Real]]</f>
        <v>0</v>
      </c>
    </row>
    <row r="53" spans="1:9" ht="15.6" customHeight="1" x14ac:dyDescent="0.3">
      <c r="A53" s="25" t="s">
        <v>11</v>
      </c>
      <c r="B53" s="30"/>
      <c r="C53" s="30"/>
      <c r="D53" s="69">
        <f>Investimentos104176[[#This Row],[Orçado]]-Investimentos104176[[#This Row],[Real]]</f>
        <v>0</v>
      </c>
      <c r="E53" s="28"/>
      <c r="F53" s="25"/>
      <c r="G53" s="30"/>
      <c r="H53" s="30"/>
      <c r="I53" s="69">
        <f>Outros103175[[#This Row],[Orçado]]-Outros103175[[#This Row],[Real]]</f>
        <v>0</v>
      </c>
    </row>
    <row r="54" spans="1:9" ht="15.6" customHeight="1" x14ac:dyDescent="0.3">
      <c r="A54" s="25"/>
      <c r="B54" s="26"/>
      <c r="C54" s="26"/>
      <c r="D54" s="69">
        <f>Investimentos104176[[#This Row],[Orçado]]-Investimentos104176[[#This Row],[Real]]</f>
        <v>0</v>
      </c>
      <c r="E54" s="28"/>
      <c r="F54" s="25"/>
      <c r="G54" s="26"/>
      <c r="H54" s="26"/>
      <c r="I54" s="69">
        <f>Outros103175[[#This Row],[Orçado]]-Outros103175[[#This Row],[Real]]</f>
        <v>0</v>
      </c>
    </row>
    <row r="55" spans="1:9" s="31" customFormat="1" ht="15.6" customHeight="1" x14ac:dyDescent="0.3">
      <c r="A55" s="29"/>
      <c r="B55" s="30"/>
      <c r="C55" s="30"/>
      <c r="D55" s="69">
        <f>Investimentos104176[[#This Row],[Orçado]]-Investimentos104176[[#This Row],[Real]]</f>
        <v>0</v>
      </c>
      <c r="E55" s="37"/>
      <c r="F55" s="29"/>
      <c r="G55" s="30"/>
      <c r="H55" s="30"/>
      <c r="I55" s="69">
        <f>Outros103175[[#This Row],[Orçado]]-Outros103175[[#This Row],[Real]]</f>
        <v>0</v>
      </c>
    </row>
    <row r="56" spans="1:9" s="31" customFormat="1" ht="15.6" x14ac:dyDescent="0.3">
      <c r="A56" s="29"/>
      <c r="B56" s="30"/>
      <c r="C56" s="30"/>
      <c r="D56" s="69">
        <f>Investimentos104176[[#This Row],[Orçado]]-Investimentos104176[[#This Row],[Real]]</f>
        <v>0</v>
      </c>
      <c r="E56" s="37"/>
      <c r="F56" s="29"/>
      <c r="G56" s="30"/>
      <c r="H56" s="30"/>
      <c r="I56" s="69">
        <f>Outros103175[[#This Row],[Orçado]]-Outros103175[[#This Row],[Real]]</f>
        <v>0</v>
      </c>
    </row>
    <row r="57" spans="1:9" s="31" customFormat="1" ht="15.6" x14ac:dyDescent="0.3">
      <c r="A57" s="25" t="s">
        <v>4</v>
      </c>
      <c r="B57" s="26"/>
      <c r="C57" s="26"/>
      <c r="D57" s="69">
        <f>Investimentos104176[[#This Row],[Orçado]]-Investimentos104176[[#This Row],[Real]]</f>
        <v>0</v>
      </c>
      <c r="E57" s="37"/>
      <c r="F57" s="25" t="s">
        <v>4</v>
      </c>
      <c r="G57" s="26"/>
      <c r="H57" s="26"/>
      <c r="I57" s="69">
        <f>Outros103175[[#This Row],[Orçado]]-Outros103175[[#This Row],[Real]]</f>
        <v>0</v>
      </c>
    </row>
    <row r="58" spans="1:9" ht="18" x14ac:dyDescent="0.3">
      <c r="A58" s="64" t="s">
        <v>5</v>
      </c>
      <c r="B58" s="65">
        <f>SUM(Investimentos104176[Orçado])</f>
        <v>0</v>
      </c>
      <c r="C58" s="65">
        <f>SUM(Investimentos104176[Real])</f>
        <v>0</v>
      </c>
      <c r="D58" s="65">
        <f>SUM(Investimentos104176[Diferença])</f>
        <v>0</v>
      </c>
      <c r="E58" s="28"/>
      <c r="F58" s="64" t="s">
        <v>5</v>
      </c>
      <c r="G58" s="65">
        <f>SUM(Outros103175[Orçado])</f>
        <v>0</v>
      </c>
      <c r="H58" s="65">
        <f>SUM(Outros103175[Real])</f>
        <v>0</v>
      </c>
      <c r="I58" s="65">
        <f>SUM(Outros103175[Diferença])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QEsrd0bVUbYh4nPLnr3lNy7KU83kJcNZuwqd/qvybuGnz1nII78COt4tzaooBHCphzQoDbGB7D+bscbN8rWI1w==" saltValue="Gzir8KuntFRymOA5Zl0F+A==" spinCount="100000" sheet="1" objects="1" scenarios="1" selectLockedCells="1"/>
  <mergeCells count="17">
    <mergeCell ref="A48:D48"/>
    <mergeCell ref="A61:D61"/>
    <mergeCell ref="F6:F7"/>
    <mergeCell ref="A38:D38"/>
    <mergeCell ref="H2:I2"/>
    <mergeCell ref="A16:D16"/>
    <mergeCell ref="A2:G2"/>
    <mergeCell ref="A4:B4"/>
    <mergeCell ref="A27:D27"/>
    <mergeCell ref="A11:B11"/>
    <mergeCell ref="D12:F13"/>
    <mergeCell ref="G12:G13"/>
    <mergeCell ref="D6:E7"/>
    <mergeCell ref="D8:E9"/>
    <mergeCell ref="F8:F9"/>
    <mergeCell ref="H4:I10"/>
    <mergeCell ref="H13:I15"/>
  </mergeCells>
  <conditionalFormatting sqref="J6:J9">
    <cfRule type="containsText" dxfId="231" priority="5" operator="containsText" text="Atenção! Cuidado com sua saúde financeira">
      <formula>NOT(ISERROR(SEARCH("Atenção! Cuidado com sua saúde financeira",J6)))</formula>
    </cfRule>
  </conditionalFormatting>
  <conditionalFormatting sqref="C14">
    <cfRule type="containsText" dxfId="230" priority="3" operator="containsText" text="Você está dentro do orçamento">
      <formula>NOT(ISERROR(SEARCH("Você está dentro do orçamento",C14)))</formula>
    </cfRule>
    <cfRule type="containsText" dxfId="229" priority="4" operator="containsText" text="Você está fora do orçamento">
      <formula>NOT(ISERROR(SEARCH("Você está fora do orçamento",C14)))</formula>
    </cfRule>
  </conditionalFormatting>
  <conditionalFormatting sqref="H4 J4:L10">
    <cfRule type="containsText" dxfId="228"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227" priority="1" stopIfTrue="1" operator="containsText" text="Atenção! Cuidado com sua saúde financeira">
      <formula>NOT(ISERROR(SEARCH("Atenção! Cuidado com sua saúde financeira",H4)))</formula>
    </cfRule>
    <cfRule type="containsText" dxfId="226"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B9" unlockedFormula="1"/>
  </ignoredErrors>
  <drawing r:id="rId2"/>
  <tableParts count="8">
    <tablePart r:id="rId3"/>
    <tablePart r:id="rId4"/>
    <tablePart r:id="rId5"/>
    <tablePart r:id="rId6"/>
    <tablePart r:id="rId7"/>
    <tablePart r:id="rId8"/>
    <tablePart r:id="rId9"/>
    <tablePart r:id="rId1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4EB6-FE61-4784-9CE5-84DF7C37805A}">
  <sheetPr>
    <tabColor theme="5" tint="0.79998168889431442"/>
    <pageSetUpPr autoPageBreaks="0" fitToPage="1"/>
  </sheetPr>
  <dimension ref="A1:R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8" s="13" customFormat="1" ht="19.95" customHeight="1" x14ac:dyDescent="0.45">
      <c r="A1" s="12">
        <f ca="1">NOW()</f>
        <v>44791.47886412037</v>
      </c>
    </row>
    <row r="2" spans="1:18" s="13" customFormat="1" ht="94.8" customHeight="1" x14ac:dyDescent="0.3">
      <c r="A2" s="92" t="s">
        <v>67</v>
      </c>
      <c r="B2" s="92"/>
      <c r="C2" s="92"/>
      <c r="D2" s="92"/>
      <c r="E2" s="92"/>
      <c r="F2" s="92"/>
      <c r="G2" s="92"/>
      <c r="H2" s="84"/>
      <c r="I2" s="85"/>
      <c r="J2" s="77"/>
      <c r="K2" s="77"/>
      <c r="L2" s="102" t="s">
        <v>69</v>
      </c>
      <c r="M2" s="102"/>
      <c r="N2" s="102"/>
      <c r="O2" s="102"/>
      <c r="P2" s="102"/>
      <c r="Q2" s="102"/>
      <c r="R2" s="102"/>
    </row>
    <row r="3" spans="1:18" s="15" customFormat="1" ht="15" customHeight="1" x14ac:dyDescent="0.3">
      <c r="L3" s="102"/>
      <c r="M3" s="102"/>
      <c r="N3" s="102"/>
      <c r="O3" s="102"/>
      <c r="P3" s="102"/>
      <c r="Q3" s="102"/>
      <c r="R3" s="102"/>
    </row>
    <row r="4" spans="1:18"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c r="L4" s="102"/>
      <c r="M4" s="102"/>
      <c r="N4" s="102"/>
      <c r="O4" s="102"/>
      <c r="P4" s="102"/>
      <c r="Q4" s="102"/>
      <c r="R4" s="102"/>
    </row>
    <row r="5" spans="1:18" s="15" customFormat="1" ht="15.6" customHeight="1" x14ac:dyDescent="0.3">
      <c r="A5" s="6" t="s">
        <v>12</v>
      </c>
      <c r="B5" s="7">
        <v>100</v>
      </c>
      <c r="H5" s="91"/>
      <c r="I5" s="91"/>
      <c r="K5" s="76" t="str">
        <f>IF(I8&gt;0,"Parabéns! Invista na Mais Previdência", IF(I8&lt;0,"Atenção! Cuidado com sua saúde financeira.",""))</f>
        <v/>
      </c>
      <c r="L5" s="102"/>
      <c r="M5" s="102"/>
      <c r="N5" s="102"/>
      <c r="O5" s="102"/>
      <c r="P5" s="102"/>
      <c r="Q5" s="102"/>
      <c r="R5" s="102"/>
    </row>
    <row r="6" spans="1:18" s="15" customFormat="1" ht="15.6" customHeight="1" x14ac:dyDescent="0.3">
      <c r="A6" s="8" t="s">
        <v>0</v>
      </c>
      <c r="B6" s="9">
        <v>10</v>
      </c>
      <c r="D6" s="93" t="s">
        <v>49</v>
      </c>
      <c r="E6" s="93"/>
      <c r="F6" s="88">
        <f>B9-B12</f>
        <v>220</v>
      </c>
      <c r="H6" s="91"/>
      <c r="I6" s="91"/>
      <c r="J6" s="62"/>
      <c r="K6" s="76"/>
      <c r="L6" s="102"/>
      <c r="M6" s="102"/>
      <c r="N6" s="102"/>
      <c r="O6" s="102"/>
      <c r="P6" s="102"/>
      <c r="Q6" s="102"/>
      <c r="R6" s="102"/>
    </row>
    <row r="7" spans="1:18" s="15" customFormat="1" ht="15.6" customHeight="1" x14ac:dyDescent="0.3">
      <c r="A7" s="8" t="s">
        <v>13</v>
      </c>
      <c r="B7" s="9">
        <v>10</v>
      </c>
      <c r="D7" s="93"/>
      <c r="E7" s="93"/>
      <c r="F7" s="88"/>
      <c r="H7" s="91"/>
      <c r="I7" s="91"/>
      <c r="J7" s="62"/>
      <c r="K7" s="76"/>
      <c r="L7" s="102"/>
      <c r="M7" s="102"/>
      <c r="N7" s="102"/>
      <c r="O7" s="102"/>
      <c r="P7" s="102"/>
      <c r="Q7" s="102"/>
      <c r="R7" s="102"/>
    </row>
    <row r="8" spans="1:18" s="15" customFormat="1" ht="15.6" customHeight="1" x14ac:dyDescent="0.3">
      <c r="A8" s="8" t="s">
        <v>14</v>
      </c>
      <c r="B8" s="9">
        <v>100</v>
      </c>
      <c r="D8" s="94" t="s">
        <v>50</v>
      </c>
      <c r="E8" s="94"/>
      <c r="F8" s="95">
        <f>B9-B13</f>
        <v>220</v>
      </c>
      <c r="H8" s="91"/>
      <c r="I8" s="91"/>
      <c r="J8" s="62"/>
      <c r="K8" s="76"/>
      <c r="L8" s="102"/>
      <c r="M8" s="102"/>
      <c r="N8" s="102"/>
      <c r="O8" s="102"/>
      <c r="P8" s="102"/>
      <c r="Q8" s="102"/>
      <c r="R8" s="102"/>
    </row>
    <row r="9" spans="1:18" s="15" customFormat="1" ht="18" customHeight="1" x14ac:dyDescent="0.3">
      <c r="A9" s="10" t="s">
        <v>1</v>
      </c>
      <c r="B9" s="11">
        <f>SUM(B5:B8)</f>
        <v>220</v>
      </c>
      <c r="D9" s="94"/>
      <c r="E9" s="94"/>
      <c r="F9" s="95"/>
      <c r="G9" s="60"/>
      <c r="H9" s="91"/>
      <c r="I9" s="91"/>
      <c r="J9" s="62"/>
      <c r="K9" s="76"/>
      <c r="L9" s="102"/>
      <c r="M9" s="102"/>
      <c r="N9" s="102"/>
      <c r="O9" s="102"/>
      <c r="P9" s="102"/>
      <c r="Q9" s="102"/>
      <c r="R9" s="102"/>
    </row>
    <row r="10" spans="1:18" s="15" customFormat="1" ht="30" customHeight="1" x14ac:dyDescent="0.3">
      <c r="A10" s="5"/>
      <c r="B10" s="5"/>
      <c r="D10" s="61"/>
      <c r="E10" s="61"/>
      <c r="F10" s="61"/>
      <c r="G10" s="60"/>
      <c r="H10" s="91"/>
      <c r="I10" s="91"/>
      <c r="J10" s="17"/>
      <c r="K10" s="76"/>
      <c r="L10" s="102"/>
      <c r="M10" s="102"/>
      <c r="N10" s="102"/>
      <c r="O10" s="102"/>
      <c r="P10" s="102"/>
      <c r="Q10" s="102"/>
      <c r="R10" s="102"/>
    </row>
    <row r="11" spans="1:18" s="15" customFormat="1" ht="30" customHeight="1" x14ac:dyDescent="0.3">
      <c r="A11" s="86" t="s">
        <v>48</v>
      </c>
      <c r="B11" s="87"/>
      <c r="C11" s="16"/>
      <c r="D11" s="61"/>
      <c r="E11" s="61"/>
      <c r="F11" s="61"/>
      <c r="G11" s="60"/>
      <c r="I11" s="79"/>
      <c r="J11" s="79"/>
      <c r="K11" s="79"/>
      <c r="L11" s="102"/>
      <c r="M11" s="102"/>
      <c r="N11" s="102"/>
      <c r="O11" s="102"/>
      <c r="P11" s="102"/>
      <c r="Q11" s="102"/>
      <c r="R11" s="102"/>
    </row>
    <row r="12" spans="1:18" s="15" customFormat="1" ht="15.6" customHeight="1" x14ac:dyDescent="0.3">
      <c r="A12" s="73" t="s">
        <v>16</v>
      </c>
      <c r="B12" s="72">
        <f>SUM(Moradia102182[Orçado],Lazer101181[Orçado],Saúde99179[Orçado],Alimentação98178[Orçado],Pessoaleducacao100180[Orçado],Transporte105185[Orçado],Investimentos104184[Orçado],Outros103183[Orçado])</f>
        <v>0</v>
      </c>
      <c r="D12" s="100"/>
      <c r="E12" s="100"/>
      <c r="F12" s="100"/>
      <c r="G12" s="89"/>
      <c r="H12" s="79"/>
      <c r="I12" s="79"/>
      <c r="J12" s="79"/>
      <c r="K12" s="79"/>
      <c r="L12" s="102"/>
      <c r="M12" s="102"/>
      <c r="N12" s="102"/>
      <c r="O12" s="102"/>
      <c r="P12" s="102"/>
      <c r="Q12" s="102"/>
      <c r="R12" s="102"/>
    </row>
    <row r="13" spans="1:18" s="15" customFormat="1" ht="15.6" customHeight="1" x14ac:dyDescent="0.3">
      <c r="A13" s="74" t="s">
        <v>17</v>
      </c>
      <c r="B13" s="69">
        <f>SUM(Moradia102182[Real],Lazer101181[Real],Saúde99179[Real],Alimentação98178[Real],Pessoaleducacao100180[Real],Transporte105185[Real],Investimentos104184[Real],Outros103183[Real])</f>
        <v>0</v>
      </c>
      <c r="D13" s="100"/>
      <c r="E13" s="100"/>
      <c r="F13" s="100"/>
      <c r="G13" s="89"/>
      <c r="H13" s="84" t="s">
        <v>68</v>
      </c>
      <c r="I13" s="84"/>
      <c r="J13" s="79"/>
      <c r="K13" s="79"/>
      <c r="L13" s="79"/>
    </row>
    <row r="14" spans="1:18" s="15" customFormat="1" ht="18" x14ac:dyDescent="0.3">
      <c r="A14" s="70" t="s">
        <v>10</v>
      </c>
      <c r="B14" s="63">
        <f>B12-B13</f>
        <v>0</v>
      </c>
      <c r="C14" s="71" t="str">
        <f>IF(B14&gt;0,"Você está dentro do orçamento", IF(B14&lt;0,"Você está fora do orçamento",""))</f>
        <v/>
      </c>
      <c r="H14" s="84"/>
      <c r="I14" s="84"/>
    </row>
    <row r="15" spans="1:18" ht="37.799999999999997" customHeight="1" x14ac:dyDescent="0.3">
      <c r="A15" s="18"/>
      <c r="B15" s="19"/>
      <c r="H15" s="84"/>
      <c r="I15" s="84"/>
    </row>
    <row r="16" spans="1:18" ht="30" customHeight="1" x14ac:dyDescent="0.3">
      <c r="A16" s="101" t="s">
        <v>2</v>
      </c>
      <c r="B16" s="101"/>
      <c r="C16" s="101"/>
      <c r="D16" s="101"/>
      <c r="E16" s="20"/>
      <c r="F16" s="75"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Moradia102182[[#This Row],[Orçado]]-Moradia102182[[#This Row],[Real]]</f>
        <v>0</v>
      </c>
      <c r="E18" s="27"/>
      <c r="F18" s="25" t="s">
        <v>26</v>
      </c>
      <c r="G18" s="26"/>
      <c r="H18" s="26"/>
      <c r="I18" s="69">
        <f>Lazer101181[[#This Row],[Orçado]]-Lazer101181[[#This Row],[Real]]</f>
        <v>0</v>
      </c>
      <c r="M18" s="78"/>
      <c r="N18" s="78"/>
      <c r="O18" s="78"/>
      <c r="P18" s="78"/>
      <c r="Q18" s="78"/>
    </row>
    <row r="19" spans="1:17" ht="15.6" x14ac:dyDescent="0.3">
      <c r="A19" s="25" t="s">
        <v>22</v>
      </c>
      <c r="B19" s="26"/>
      <c r="C19" s="26"/>
      <c r="D19" s="69">
        <f>Moradia102182[[#This Row],[Orçado]]-Moradia102182[[#This Row],[Real]]</f>
        <v>0</v>
      </c>
      <c r="E19" s="28"/>
      <c r="F19" s="25" t="s">
        <v>27</v>
      </c>
      <c r="G19" s="26"/>
      <c r="H19" s="26"/>
      <c r="I19" s="69">
        <f>Lazer101181[[#This Row],[Orçado]]-Lazer101181[[#This Row],[Real]]</f>
        <v>0</v>
      </c>
      <c r="M19" s="78"/>
      <c r="N19" s="78"/>
      <c r="O19" s="78"/>
      <c r="P19" s="78"/>
      <c r="Q19" s="78"/>
    </row>
    <row r="20" spans="1:17" ht="15.6" x14ac:dyDescent="0.3">
      <c r="A20" s="25" t="s">
        <v>23</v>
      </c>
      <c r="B20" s="26"/>
      <c r="C20" s="26"/>
      <c r="D20" s="69">
        <f>Moradia102182[[#This Row],[Orçado]]-Moradia102182[[#This Row],[Real]]</f>
        <v>0</v>
      </c>
      <c r="E20" s="28"/>
      <c r="F20" s="25" t="s">
        <v>34</v>
      </c>
      <c r="G20" s="26"/>
      <c r="H20" s="26"/>
      <c r="I20" s="69">
        <f>Lazer101181[[#This Row],[Orçado]]-Lazer101181[[#This Row],[Real]]</f>
        <v>0</v>
      </c>
      <c r="M20" s="78"/>
      <c r="N20" s="78"/>
      <c r="O20" s="78"/>
      <c r="P20" s="78"/>
      <c r="Q20" s="78"/>
    </row>
    <row r="21" spans="1:17" ht="15.6" x14ac:dyDescent="0.3">
      <c r="A21" s="25" t="s">
        <v>24</v>
      </c>
      <c r="B21" s="26"/>
      <c r="C21" s="26"/>
      <c r="D21" s="69">
        <f>Moradia102182[[#This Row],[Orçado]]-Moradia102182[[#This Row],[Real]]</f>
        <v>0</v>
      </c>
      <c r="E21" s="28"/>
      <c r="F21" s="25"/>
      <c r="G21" s="26"/>
      <c r="H21" s="26"/>
      <c r="I21" s="69">
        <f>Lazer101181[[#This Row],[Orçado]]-Lazer101181[[#This Row],[Real]]</f>
        <v>0</v>
      </c>
    </row>
    <row r="22" spans="1:17" ht="15.6" x14ac:dyDescent="0.3">
      <c r="A22" s="25" t="s">
        <v>25</v>
      </c>
      <c r="B22" s="26"/>
      <c r="C22" s="26"/>
      <c r="D22" s="69">
        <f>Moradia102182[[#This Row],[Orçado]]-Moradia102182[[#This Row],[Real]]</f>
        <v>0</v>
      </c>
      <c r="E22" s="28"/>
      <c r="F22" s="25"/>
      <c r="G22" s="26"/>
      <c r="H22" s="26"/>
      <c r="I22" s="69">
        <f>Lazer101181[[#This Row],[Orçado]]-Lazer101181[[#This Row],[Real]]</f>
        <v>0</v>
      </c>
    </row>
    <row r="23" spans="1:17" ht="15.6" x14ac:dyDescent="0.3">
      <c r="A23" s="25"/>
      <c r="B23" s="26"/>
      <c r="C23" s="26"/>
      <c r="D23" s="69">
        <f>Moradia102182[[#This Row],[Orçado]]-Moradia102182[[#This Row],[Real]]</f>
        <v>0</v>
      </c>
      <c r="E23" s="28"/>
      <c r="F23" s="29"/>
      <c r="G23" s="30"/>
      <c r="H23" s="30"/>
      <c r="I23" s="69">
        <f>Lazer101181[[#This Row],[Orçado]]-Lazer101181[[#This Row],[Real]]</f>
        <v>0</v>
      </c>
    </row>
    <row r="24" spans="1:17" ht="15.6" x14ac:dyDescent="0.3">
      <c r="A24" s="25" t="s">
        <v>4</v>
      </c>
      <c r="B24" s="26"/>
      <c r="C24" s="26"/>
      <c r="D24" s="69">
        <f>Moradia102182[[#This Row],[Orçado]]-Moradia102182[[#This Row],[Real]]</f>
        <v>0</v>
      </c>
      <c r="E24" s="28"/>
      <c r="F24" s="25" t="s">
        <v>4</v>
      </c>
      <c r="G24" s="26"/>
      <c r="H24" s="26"/>
      <c r="I24" s="69">
        <f>Lazer101181[[#This Row],[Orçado]]-Lazer101181[[#This Row],[Real]]</f>
        <v>0</v>
      </c>
    </row>
    <row r="25" spans="1:17" ht="18" x14ac:dyDescent="0.3">
      <c r="A25" s="66" t="s">
        <v>5</v>
      </c>
      <c r="B25" s="65">
        <f>SUM(Moradia102182[Orçado])</f>
        <v>0</v>
      </c>
      <c r="C25" s="65">
        <f>SUM(Moradia102182[Real])</f>
        <v>0</v>
      </c>
      <c r="D25" s="65">
        <f>SUM(Moradia102182[Diferença])</f>
        <v>0</v>
      </c>
      <c r="E25" s="28"/>
      <c r="F25" s="66" t="s">
        <v>5</v>
      </c>
      <c r="G25" s="65">
        <f>SUM(Lazer101181[Orçado])</f>
        <v>0</v>
      </c>
      <c r="H25" s="65">
        <f>SUM(Lazer101181[Real])</f>
        <v>0</v>
      </c>
      <c r="I25" s="65">
        <f>SUM(Lazer101181[Diferença])</f>
        <v>0</v>
      </c>
    </row>
    <row r="26" spans="1:17" ht="37.799999999999997" customHeight="1" x14ac:dyDescent="0.3">
      <c r="A26" s="18"/>
      <c r="B26" s="19"/>
    </row>
    <row r="27" spans="1:17" ht="30" customHeight="1" x14ac:dyDescent="0.3">
      <c r="A27" s="101" t="s">
        <v>7</v>
      </c>
      <c r="B27" s="101"/>
      <c r="C27" s="101"/>
      <c r="D27" s="101"/>
      <c r="E27" s="20"/>
      <c r="F27" s="75"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Saúde99179[[#This Row],[Orçado]]-Saúde99179[[#This Row],[Real]]</f>
        <v>0</v>
      </c>
      <c r="E29" s="27"/>
      <c r="F29" s="25" t="s">
        <v>8</v>
      </c>
      <c r="G29" s="26"/>
      <c r="H29" s="26"/>
      <c r="I29" s="69">
        <f>Alimentação98178[[#This Row],[Orçado]]-Alimentação98178[[#This Row],[Real]]</f>
        <v>0</v>
      </c>
    </row>
    <row r="30" spans="1:17" ht="15.6" x14ac:dyDescent="0.3">
      <c r="A30" s="25" t="s">
        <v>29</v>
      </c>
      <c r="B30" s="26"/>
      <c r="C30" s="26"/>
      <c r="D30" s="69">
        <f>Saúde99179[[#This Row],[Orçado]]-Saúde99179[[#This Row],[Real]]</f>
        <v>0</v>
      </c>
      <c r="E30" s="28"/>
      <c r="F30" s="25" t="s">
        <v>37</v>
      </c>
      <c r="G30" s="26"/>
      <c r="H30" s="26"/>
      <c r="I30" s="69">
        <f>Alimentação98178[[#This Row],[Orçado]]-Alimentação98178[[#This Row],[Real]]</f>
        <v>0</v>
      </c>
    </row>
    <row r="31" spans="1:17" ht="15.6" x14ac:dyDescent="0.3">
      <c r="A31" s="25" t="s">
        <v>35</v>
      </c>
      <c r="B31" s="26"/>
      <c r="C31" s="26"/>
      <c r="D31" s="69">
        <f>Saúde99179[[#This Row],[Orçado]]-Saúde99179[[#This Row],[Real]]</f>
        <v>0</v>
      </c>
      <c r="E31" s="28"/>
      <c r="F31" s="25"/>
      <c r="G31" s="26"/>
      <c r="H31" s="26"/>
      <c r="I31" s="69">
        <f>Alimentação98178[[#This Row],[Orçado]]-Alimentação98178[[#This Row],[Real]]</f>
        <v>0</v>
      </c>
    </row>
    <row r="32" spans="1:17" ht="15.6" x14ac:dyDescent="0.3">
      <c r="A32" s="25"/>
      <c r="B32" s="26"/>
      <c r="C32" s="26"/>
      <c r="D32" s="69">
        <f>Saúde99179[[#This Row],[Orçado]]-Saúde99179[[#This Row],[Real]]</f>
        <v>0</v>
      </c>
      <c r="E32" s="28"/>
      <c r="F32" s="25"/>
      <c r="G32" s="26"/>
      <c r="H32" s="26"/>
      <c r="I32" s="69">
        <f>Alimentação98178[[#This Row],[Orçado]]-Alimentação98178[[#This Row],[Real]]</f>
        <v>0</v>
      </c>
    </row>
    <row r="33" spans="1:11" ht="15.6" x14ac:dyDescent="0.3">
      <c r="A33" s="25"/>
      <c r="B33" s="26"/>
      <c r="C33" s="26"/>
      <c r="D33" s="69">
        <f>Saúde99179[[#This Row],[Orçado]]-Saúde99179[[#This Row],[Real]]</f>
        <v>0</v>
      </c>
      <c r="E33" s="28"/>
      <c r="F33" s="25"/>
      <c r="G33" s="26"/>
      <c r="H33" s="26"/>
      <c r="I33" s="69">
        <f>Alimentação98178[[#This Row],[Orçado]]-Alimentação98178[[#This Row],[Real]]</f>
        <v>0</v>
      </c>
    </row>
    <row r="34" spans="1:11" ht="15.6" x14ac:dyDescent="0.3">
      <c r="A34" s="25"/>
      <c r="B34" s="26"/>
      <c r="C34" s="26"/>
      <c r="D34" s="69">
        <f>Saúde99179[[#This Row],[Orçado]]-Saúde99179[[#This Row],[Real]]</f>
        <v>0</v>
      </c>
      <c r="E34" s="28"/>
      <c r="F34" s="29"/>
      <c r="G34" s="30"/>
      <c r="H34" s="30"/>
      <c r="I34" s="69">
        <f>Alimentação98178[[#This Row],[Orçado]]-Alimentação98178[[#This Row],[Real]]</f>
        <v>0</v>
      </c>
    </row>
    <row r="35" spans="1:11" ht="15.6" x14ac:dyDescent="0.3">
      <c r="A35" s="25" t="s">
        <v>4</v>
      </c>
      <c r="B35" s="26"/>
      <c r="C35" s="26"/>
      <c r="D35" s="69">
        <f>Saúde99179[[#This Row],[Orçado]]-Saúde99179[[#This Row],[Real]]</f>
        <v>0</v>
      </c>
      <c r="E35" s="28"/>
      <c r="F35" s="25" t="s">
        <v>4</v>
      </c>
      <c r="G35" s="26"/>
      <c r="H35" s="26"/>
      <c r="I35" s="69">
        <f>Alimentação98178[[#This Row],[Orçado]]-Alimentação98178[[#This Row],[Real]]</f>
        <v>0</v>
      </c>
    </row>
    <row r="36" spans="1:11" ht="18" x14ac:dyDescent="0.3">
      <c r="A36" s="66" t="s">
        <v>5</v>
      </c>
      <c r="B36" s="65">
        <f>SUM(Saúde99179[Orçado])</f>
        <v>0</v>
      </c>
      <c r="C36" s="65">
        <f>SUM(Saúde99179[Real])</f>
        <v>0</v>
      </c>
      <c r="D36" s="65">
        <f>SUM(Saúde99179[Diferença])</f>
        <v>0</v>
      </c>
      <c r="E36" s="28"/>
      <c r="F36" s="66" t="s">
        <v>5</v>
      </c>
      <c r="G36" s="65">
        <f>SUM(Alimentação98178[Orçado])</f>
        <v>0</v>
      </c>
      <c r="H36" s="65">
        <f>SUM(Alimentação98178[Real])</f>
        <v>0</v>
      </c>
      <c r="I36" s="65">
        <f>SUM(Alimentação98178[Diferença])</f>
        <v>0</v>
      </c>
    </row>
    <row r="37" spans="1:11" ht="30" customHeight="1" x14ac:dyDescent="0.3">
      <c r="A37" s="32"/>
      <c r="B37" s="33"/>
      <c r="C37" s="33"/>
      <c r="D37" s="34"/>
      <c r="E37" s="28"/>
    </row>
    <row r="38" spans="1:11" ht="30" customHeight="1" x14ac:dyDescent="0.3">
      <c r="A38" s="101" t="s">
        <v>40</v>
      </c>
      <c r="B38" s="101"/>
      <c r="C38" s="101"/>
      <c r="D38" s="101"/>
      <c r="E38" s="28"/>
      <c r="F38" s="75"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Pessoaleducacao100180[[#This Row],[Orçado]]-Pessoaleducacao100180[[#This Row],[Real]]</f>
        <v>0</v>
      </c>
      <c r="E40" s="37"/>
      <c r="F40" s="25" t="s">
        <v>30</v>
      </c>
      <c r="G40" s="26"/>
      <c r="H40" s="26"/>
      <c r="I40" s="69">
        <f>Transporte105185[[#This Row],[Orçado]]-Transporte105185[[#This Row],[Real]]</f>
        <v>0</v>
      </c>
    </row>
    <row r="41" spans="1:11" ht="15.6" x14ac:dyDescent="0.3">
      <c r="A41" s="25" t="s">
        <v>9</v>
      </c>
      <c r="B41" s="26"/>
      <c r="C41" s="26"/>
      <c r="D41" s="69">
        <f>Pessoaleducacao100180[[#This Row],[Orçado]]-Pessoaleducacao100180[[#This Row],[Real]]</f>
        <v>0</v>
      </c>
      <c r="E41" s="28"/>
      <c r="F41" s="25" t="s">
        <v>31</v>
      </c>
      <c r="G41" s="26"/>
      <c r="H41" s="26"/>
      <c r="I41" s="69">
        <f>Transporte105185[[#This Row],[Orçado]]-Transporte105185[[#This Row],[Real]]</f>
        <v>0</v>
      </c>
    </row>
    <row r="42" spans="1:11" ht="15.6" x14ac:dyDescent="0.3">
      <c r="A42" s="25" t="s">
        <v>41</v>
      </c>
      <c r="B42" s="26"/>
      <c r="C42" s="26"/>
      <c r="D42" s="69">
        <f>Pessoaleducacao100180[[#This Row],[Orçado]]-Pessoaleducacao100180[[#This Row],[Real]]</f>
        <v>0</v>
      </c>
      <c r="E42" s="28"/>
      <c r="F42" s="25" t="s">
        <v>32</v>
      </c>
      <c r="G42" s="26"/>
      <c r="H42" s="26"/>
      <c r="I42" s="69">
        <f>Transporte105185[[#This Row],[Orçado]]-Transporte105185[[#This Row],[Real]]</f>
        <v>0</v>
      </c>
    </row>
    <row r="43" spans="1:11" ht="15.6" x14ac:dyDescent="0.3">
      <c r="A43" s="25" t="s">
        <v>42</v>
      </c>
      <c r="B43" s="26"/>
      <c r="C43" s="26"/>
      <c r="D43" s="69">
        <f>Pessoaleducacao100180[[#This Row],[Orçado]]-Pessoaleducacao100180[[#This Row],[Real]]</f>
        <v>0</v>
      </c>
      <c r="E43" s="28"/>
      <c r="F43" s="25"/>
      <c r="G43" s="26"/>
      <c r="H43" s="26"/>
      <c r="I43" s="69">
        <f>Transporte105185[[#This Row],[Orçado]]-Transporte105185[[#This Row],[Real]]</f>
        <v>0</v>
      </c>
    </row>
    <row r="44" spans="1:11" ht="15.6" x14ac:dyDescent="0.3">
      <c r="A44" s="25" t="s">
        <v>43</v>
      </c>
      <c r="B44" s="26"/>
      <c r="C44" s="26"/>
      <c r="D44" s="69">
        <f>Pessoaleducacao100180[[#This Row],[Orçado]]-Pessoaleducacao100180[[#This Row],[Real]]</f>
        <v>0</v>
      </c>
      <c r="E44" s="28"/>
      <c r="F44" s="25"/>
      <c r="G44" s="26"/>
      <c r="H44" s="26"/>
      <c r="I44" s="69">
        <f>Transporte105185[[#This Row],[Orçado]]-Transporte105185[[#This Row],[Real]]</f>
        <v>0</v>
      </c>
    </row>
    <row r="45" spans="1:11" ht="15.6" x14ac:dyDescent="0.3">
      <c r="A45" s="25"/>
      <c r="B45" s="26"/>
      <c r="C45" s="26"/>
      <c r="D45" s="69">
        <f>Pessoaleducacao100180[[#This Row],[Orçado]]-Pessoaleducacao100180[[#This Row],[Real]]</f>
        <v>0</v>
      </c>
      <c r="E45" s="28"/>
      <c r="F45" s="29"/>
      <c r="G45" s="30"/>
      <c r="H45" s="30"/>
      <c r="I45" s="69">
        <f>Transporte105185[[#This Row],[Orçado]]-Transporte105185[[#This Row],[Real]]</f>
        <v>0</v>
      </c>
      <c r="J45" s="38"/>
      <c r="K45" s="38"/>
    </row>
    <row r="46" spans="1:11" ht="15.6" x14ac:dyDescent="0.3">
      <c r="A46" s="39" t="s">
        <v>4</v>
      </c>
      <c r="B46" s="40"/>
      <c r="C46" s="40"/>
      <c r="D46" s="69">
        <f>Pessoaleducacao100180[[#This Row],[Orçado]]-Pessoaleducacao100180[[#This Row],[Real]]</f>
        <v>0</v>
      </c>
      <c r="E46" s="28"/>
      <c r="F46" s="25" t="s">
        <v>4</v>
      </c>
      <c r="G46" s="26"/>
      <c r="H46" s="26"/>
      <c r="I46" s="69">
        <f>Transporte105185[[#This Row],[Orçado]]-Transporte105185[[#This Row],[Real]]</f>
        <v>0</v>
      </c>
      <c r="J46" s="38"/>
      <c r="K46" s="38"/>
    </row>
    <row r="47" spans="1:11" ht="18" x14ac:dyDescent="0.3">
      <c r="A47" s="66" t="s">
        <v>5</v>
      </c>
      <c r="B47" s="65">
        <f>SUM(Pessoaleducacao100180[Orçado])</f>
        <v>0</v>
      </c>
      <c r="C47" s="65">
        <f>SUM(Pessoaleducacao100180[Real])</f>
        <v>0</v>
      </c>
      <c r="D47" s="65">
        <f>SUM(Pessoaleducacao100180[Diferença])</f>
        <v>0</v>
      </c>
      <c r="E47" s="28"/>
      <c r="F47" s="66" t="s">
        <v>5</v>
      </c>
      <c r="G47" s="65">
        <f>SUM(Transporte105185[Orçado])</f>
        <v>0</v>
      </c>
      <c r="H47" s="65">
        <f>SUM(Transporte105185[Real])</f>
        <v>0</v>
      </c>
      <c r="I47" s="65">
        <f>SUM(Transporte105185[Diferença])</f>
        <v>0</v>
      </c>
      <c r="J47" s="38"/>
      <c r="K47" s="38"/>
    </row>
    <row r="48" spans="1:11" s="31" customFormat="1" ht="30" customHeight="1" x14ac:dyDescent="0.3">
      <c r="A48" s="99"/>
      <c r="B48" s="99"/>
      <c r="C48" s="99"/>
      <c r="D48" s="99"/>
      <c r="E48" s="37"/>
      <c r="F48" s="5"/>
      <c r="G48" s="5"/>
      <c r="H48" s="5"/>
      <c r="I48" s="5"/>
    </row>
    <row r="49" spans="1:9" ht="30" customHeight="1" x14ac:dyDescent="0.3">
      <c r="A49" s="75" t="s">
        <v>11</v>
      </c>
      <c r="B49" s="68"/>
      <c r="C49" s="68"/>
      <c r="D49" s="68"/>
      <c r="E49" s="28"/>
      <c r="F49" s="75"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Investimentos104184[[#This Row],[Orçado]]-Investimentos104184[[#This Row],[Real]]</f>
        <v>0</v>
      </c>
      <c r="E51" s="28"/>
      <c r="F51" s="35" t="s">
        <v>38</v>
      </c>
      <c r="G51" s="36"/>
      <c r="H51" s="36"/>
      <c r="I51" s="69">
        <f>Outros103183[[#This Row],[Orçado]]-Outros103183[[#This Row],[Real]]</f>
        <v>0</v>
      </c>
    </row>
    <row r="52" spans="1:9" ht="15.6" customHeight="1" x14ac:dyDescent="0.3">
      <c r="A52" s="25" t="s">
        <v>20</v>
      </c>
      <c r="B52" s="30"/>
      <c r="C52" s="30"/>
      <c r="D52" s="69">
        <f>Investimentos104184[[#This Row],[Orçado]]-Investimentos104184[[#This Row],[Real]]</f>
        <v>0</v>
      </c>
      <c r="E52" s="28"/>
      <c r="F52" s="25" t="s">
        <v>39</v>
      </c>
      <c r="G52" s="30"/>
      <c r="H52" s="30"/>
      <c r="I52" s="69">
        <f>Outros103183[[#This Row],[Orçado]]-Outros103183[[#This Row],[Real]]</f>
        <v>0</v>
      </c>
    </row>
    <row r="53" spans="1:9" ht="15.6" customHeight="1" x14ac:dyDescent="0.3">
      <c r="A53" s="25" t="s">
        <v>11</v>
      </c>
      <c r="B53" s="30"/>
      <c r="C53" s="30"/>
      <c r="D53" s="69">
        <f>Investimentos104184[[#This Row],[Orçado]]-Investimentos104184[[#This Row],[Real]]</f>
        <v>0</v>
      </c>
      <c r="E53" s="28"/>
      <c r="F53" s="25"/>
      <c r="G53" s="30"/>
      <c r="H53" s="30"/>
      <c r="I53" s="69">
        <f>Outros103183[[#This Row],[Orçado]]-Outros103183[[#This Row],[Real]]</f>
        <v>0</v>
      </c>
    </row>
    <row r="54" spans="1:9" ht="15.6" customHeight="1" x14ac:dyDescent="0.3">
      <c r="A54" s="25"/>
      <c r="B54" s="26"/>
      <c r="C54" s="26"/>
      <c r="D54" s="69">
        <f>Investimentos104184[[#This Row],[Orçado]]-Investimentos104184[[#This Row],[Real]]</f>
        <v>0</v>
      </c>
      <c r="E54" s="28"/>
      <c r="F54" s="25"/>
      <c r="G54" s="26"/>
      <c r="H54" s="26"/>
      <c r="I54" s="69">
        <f>Outros103183[[#This Row],[Orçado]]-Outros103183[[#This Row],[Real]]</f>
        <v>0</v>
      </c>
    </row>
    <row r="55" spans="1:9" s="31" customFormat="1" ht="15.6" customHeight="1" x14ac:dyDescent="0.3">
      <c r="A55" s="29"/>
      <c r="B55" s="30"/>
      <c r="C55" s="30"/>
      <c r="D55" s="69">
        <f>Investimentos104184[[#This Row],[Orçado]]-Investimentos104184[[#This Row],[Real]]</f>
        <v>0</v>
      </c>
      <c r="E55" s="37"/>
      <c r="F55" s="29"/>
      <c r="G55" s="30"/>
      <c r="H55" s="30"/>
      <c r="I55" s="69">
        <f>Outros103183[[#This Row],[Orçado]]-Outros103183[[#This Row],[Real]]</f>
        <v>0</v>
      </c>
    </row>
    <row r="56" spans="1:9" s="31" customFormat="1" ht="15.6" x14ac:dyDescent="0.3">
      <c r="A56" s="29"/>
      <c r="B56" s="30"/>
      <c r="C56" s="30"/>
      <c r="D56" s="69">
        <f>Investimentos104184[[#This Row],[Orçado]]-Investimentos104184[[#This Row],[Real]]</f>
        <v>0</v>
      </c>
      <c r="E56" s="37"/>
      <c r="F56" s="29"/>
      <c r="G56" s="30"/>
      <c r="H56" s="30"/>
      <c r="I56" s="69">
        <f>Outros103183[[#This Row],[Orçado]]-Outros103183[[#This Row],[Real]]</f>
        <v>0</v>
      </c>
    </row>
    <row r="57" spans="1:9" s="31" customFormat="1" ht="15.6" x14ac:dyDescent="0.3">
      <c r="A57" s="25" t="s">
        <v>4</v>
      </c>
      <c r="B57" s="26"/>
      <c r="C57" s="26"/>
      <c r="D57" s="69">
        <f>Investimentos104184[[#This Row],[Orçado]]-Investimentos104184[[#This Row],[Real]]</f>
        <v>0</v>
      </c>
      <c r="E57" s="37"/>
      <c r="F57" s="25" t="s">
        <v>4</v>
      </c>
      <c r="G57" s="26"/>
      <c r="H57" s="26"/>
      <c r="I57" s="69">
        <f>Outros103183[[#This Row],[Orçado]]-Outros103183[[#This Row],[Real]]</f>
        <v>0</v>
      </c>
    </row>
    <row r="58" spans="1:9" ht="18" x14ac:dyDescent="0.3">
      <c r="A58" s="64" t="s">
        <v>5</v>
      </c>
      <c r="B58" s="65">
        <f>SUM(Investimentos104184[Orçado])</f>
        <v>0</v>
      </c>
      <c r="C58" s="65">
        <f>SUM(Investimentos104184[Real])</f>
        <v>0</v>
      </c>
      <c r="D58" s="65">
        <f>SUM(Investimentos104184[Diferença])</f>
        <v>0</v>
      </c>
      <c r="E58" s="28"/>
      <c r="F58" s="64" t="s">
        <v>5</v>
      </c>
      <c r="G58" s="65">
        <f>SUM(Outros103183[Orçado])</f>
        <v>0</v>
      </c>
      <c r="H58" s="65">
        <f>SUM(Outros103183[Real])</f>
        <v>0</v>
      </c>
      <c r="I58" s="65">
        <f>SUM(Outros103183[Diferença])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lCA09oldBuDMOn7rPLGSeMNjMg9iWEHdLj2hiW87RsFzKzf8RLamJPuqS/uLfGLcAa91Onrgxg+yoaRR4DCBqg==" saltValue="uQkrWmbCxDuwu25TD0TMjw==" spinCount="100000" sheet="1" objects="1" scenarios="1" selectLockedCells="1"/>
  <mergeCells count="18">
    <mergeCell ref="A48:D48"/>
    <mergeCell ref="A61:D61"/>
    <mergeCell ref="F6:F7"/>
    <mergeCell ref="H2:I2"/>
    <mergeCell ref="A16:D16"/>
    <mergeCell ref="A2:G2"/>
    <mergeCell ref="A4:B4"/>
    <mergeCell ref="A27:D27"/>
    <mergeCell ref="A38:D38"/>
    <mergeCell ref="A11:B11"/>
    <mergeCell ref="D12:F13"/>
    <mergeCell ref="G12:G13"/>
    <mergeCell ref="D6:E7"/>
    <mergeCell ref="D8:E9"/>
    <mergeCell ref="F8:F9"/>
    <mergeCell ref="L2:R12"/>
    <mergeCell ref="H4:I10"/>
    <mergeCell ref="H13:I15"/>
  </mergeCells>
  <conditionalFormatting sqref="J6:J9">
    <cfRule type="containsText" dxfId="115" priority="5" operator="containsText" text="Atenção! Cuidado com sua saúde financeira">
      <formula>NOT(ISERROR(SEARCH("Atenção! Cuidado com sua saúde financeira",J6)))</formula>
    </cfRule>
  </conditionalFormatting>
  <conditionalFormatting sqref="C14">
    <cfRule type="containsText" dxfId="114" priority="3" operator="containsText" text="Você está dentro do orçamento">
      <formula>NOT(ISERROR(SEARCH("Você está dentro do orçamento",C14)))</formula>
    </cfRule>
    <cfRule type="containsText" dxfId="113" priority="4" operator="containsText" text="Você está fora do orçamento">
      <formula>NOT(ISERROR(SEARCH("Você está fora do orçamento",C14)))</formula>
    </cfRule>
  </conditionalFormatting>
  <conditionalFormatting sqref="H4 J4:L10">
    <cfRule type="containsText" dxfId="112"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111" priority="1" stopIfTrue="1" operator="containsText" text="Atenção! Cuidado com sua saúde financeira">
      <formula>NOT(ISERROR(SEARCH("Atenção! Cuidado com sua saúde financeira",H4)))</formula>
    </cfRule>
    <cfRule type="containsText" dxfId="110"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B9" unlockedFormula="1"/>
  </ignoredErrors>
  <drawing r:id="rId2"/>
  <tableParts count="8">
    <tablePart r:id="rId3"/>
    <tablePart r:id="rId4"/>
    <tablePart r:id="rId5"/>
    <tablePart r:id="rId6"/>
    <tablePart r:id="rId7"/>
    <tablePart r:id="rId8"/>
    <tablePart r:id="rId9"/>
    <tablePart r:id="rId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0296F-C15D-49C8-A78A-E97A026084DE}">
  <sheetPr>
    <tabColor theme="5"/>
  </sheetPr>
  <dimension ref="A1:P22"/>
  <sheetViews>
    <sheetView showGridLines="0" zoomScaleNormal="100" workbookViewId="0">
      <selection activeCell="Q1" sqref="Q1"/>
    </sheetView>
  </sheetViews>
  <sheetFormatPr defaultColWidth="11.77734375" defaultRowHeight="13.8" x14ac:dyDescent="0.3"/>
  <cols>
    <col min="1" max="1" width="18" style="49" customWidth="1"/>
    <col min="2" max="14" width="11.77734375" style="49"/>
    <col min="15" max="15" width="12.5546875" style="49" bestFit="1" customWidth="1"/>
    <col min="16" max="16384" width="11.77734375" style="49"/>
  </cols>
  <sheetData>
    <row r="1" spans="1:16" s="4" customFormat="1" ht="19.95" customHeight="1" x14ac:dyDescent="0.3">
      <c r="A1" s="50">
        <f ca="1">NOW()</f>
        <v>44791.47886412037</v>
      </c>
      <c r="B1" s="13"/>
      <c r="C1" s="13"/>
      <c r="D1" s="13"/>
      <c r="E1" s="13"/>
      <c r="F1" s="13"/>
      <c r="G1" s="13"/>
      <c r="H1" s="13"/>
      <c r="I1" s="13"/>
      <c r="J1" s="13"/>
      <c r="K1" s="13"/>
      <c r="L1" s="13"/>
      <c r="M1" s="13"/>
      <c r="N1" s="13"/>
      <c r="O1" s="13"/>
      <c r="P1" s="13"/>
    </row>
    <row r="2" spans="1:16" s="4" customFormat="1" ht="94.95" customHeight="1" x14ac:dyDescent="0.55000000000000004">
      <c r="A2" s="103" t="s">
        <v>45</v>
      </c>
      <c r="B2" s="104"/>
      <c r="C2" s="104"/>
      <c r="D2" s="104"/>
      <c r="E2" s="104"/>
      <c r="F2" s="104"/>
      <c r="G2" s="104"/>
      <c r="H2" s="14"/>
      <c r="I2" s="14"/>
      <c r="J2" s="13"/>
      <c r="K2" s="13"/>
      <c r="L2" s="13"/>
      <c r="M2" s="13"/>
      <c r="N2" s="13"/>
      <c r="O2" s="13"/>
      <c r="P2" s="13"/>
    </row>
    <row r="3" spans="1:16" x14ac:dyDescent="0.3">
      <c r="A3" s="51"/>
      <c r="B3" s="51"/>
      <c r="C3" s="51"/>
      <c r="D3" s="51"/>
      <c r="E3" s="51"/>
      <c r="F3" s="51"/>
      <c r="G3" s="51"/>
      <c r="H3" s="51"/>
      <c r="I3" s="51"/>
      <c r="J3" s="51"/>
      <c r="K3" s="51"/>
      <c r="L3" s="51"/>
      <c r="M3" s="51"/>
      <c r="N3" s="51"/>
      <c r="O3" s="51"/>
      <c r="P3" s="51"/>
    </row>
    <row r="4" spans="1:16" x14ac:dyDescent="0.3">
      <c r="A4" s="51"/>
      <c r="B4" s="51"/>
      <c r="C4" s="51"/>
      <c r="D4" s="51"/>
      <c r="E4" s="51"/>
      <c r="F4" s="51"/>
      <c r="G4" s="51"/>
      <c r="H4" s="51"/>
      <c r="I4" s="51"/>
      <c r="J4" s="51"/>
      <c r="K4" s="51"/>
      <c r="L4" s="51"/>
      <c r="M4" s="51"/>
      <c r="N4" s="51"/>
      <c r="O4" s="51"/>
      <c r="P4" s="51"/>
    </row>
    <row r="5" spans="1:16" x14ac:dyDescent="0.3">
      <c r="A5" s="51"/>
      <c r="B5" s="51"/>
      <c r="C5" s="51"/>
      <c r="D5" s="51"/>
      <c r="E5" s="51"/>
      <c r="F5" s="51"/>
      <c r="G5" s="51"/>
      <c r="H5" s="51"/>
      <c r="I5" s="51"/>
      <c r="J5" s="51"/>
      <c r="K5" s="51"/>
      <c r="L5" s="51"/>
      <c r="M5" s="51"/>
      <c r="N5" s="51"/>
      <c r="O5" s="51"/>
      <c r="P5" s="51"/>
    </row>
    <row r="6" spans="1:16" x14ac:dyDescent="0.3">
      <c r="A6" s="51"/>
      <c r="B6" s="51"/>
      <c r="C6" s="51"/>
      <c r="D6" s="51"/>
      <c r="E6" s="51"/>
      <c r="F6" s="51"/>
      <c r="G6" s="51"/>
      <c r="H6" s="51"/>
      <c r="I6" s="51"/>
      <c r="J6" s="51"/>
      <c r="K6" s="51"/>
      <c r="L6" s="51"/>
      <c r="M6" s="51"/>
      <c r="N6" s="51"/>
      <c r="O6" s="51"/>
      <c r="P6" s="51"/>
    </row>
    <row r="7" spans="1:16" x14ac:dyDescent="0.3">
      <c r="A7" s="51"/>
      <c r="B7" s="52"/>
      <c r="C7" s="53">
        <v>44562</v>
      </c>
      <c r="D7" s="53">
        <v>44593</v>
      </c>
      <c r="E7" s="53">
        <v>44621</v>
      </c>
      <c r="F7" s="53">
        <v>44652</v>
      </c>
      <c r="G7" s="53">
        <v>44682</v>
      </c>
      <c r="H7" s="53">
        <v>44713</v>
      </c>
      <c r="I7" s="53">
        <v>44743</v>
      </c>
      <c r="J7" s="53">
        <v>44774</v>
      </c>
      <c r="K7" s="53">
        <v>44805</v>
      </c>
      <c r="L7" s="53">
        <v>44835</v>
      </c>
      <c r="M7" s="53">
        <v>44866</v>
      </c>
      <c r="N7" s="53">
        <v>44896</v>
      </c>
      <c r="O7" s="54" t="s">
        <v>44</v>
      </c>
      <c r="P7" s="51"/>
    </row>
    <row r="8" spans="1:16" x14ac:dyDescent="0.3">
      <c r="A8" s="51"/>
      <c r="B8" s="55" t="s">
        <v>46</v>
      </c>
      <c r="C8" s="56">
        <f>Jan!B9</f>
        <v>220</v>
      </c>
      <c r="D8" s="56">
        <f>Fev!B9</f>
        <v>220</v>
      </c>
      <c r="E8" s="56">
        <f>Mar!B9</f>
        <v>220</v>
      </c>
      <c r="F8" s="56">
        <f>Abr!B9</f>
        <v>220</v>
      </c>
      <c r="G8" s="56">
        <f>Mai!B9</f>
        <v>220</v>
      </c>
      <c r="H8" s="56">
        <f>Jun!B9</f>
        <v>220</v>
      </c>
      <c r="I8" s="56">
        <f>Jul!B9</f>
        <v>220</v>
      </c>
      <c r="J8" s="56">
        <f>Ago!B9</f>
        <v>220</v>
      </c>
      <c r="K8" s="56">
        <f>Set!B9</f>
        <v>220</v>
      </c>
      <c r="L8" s="56">
        <f>Out!B9</f>
        <v>220</v>
      </c>
      <c r="M8" s="56">
        <f>Nov!B9</f>
        <v>220</v>
      </c>
      <c r="N8" s="56">
        <f>Dez!B9</f>
        <v>220</v>
      </c>
      <c r="O8" s="56">
        <f>SUM(C8:N8)</f>
        <v>2640</v>
      </c>
      <c r="P8" s="51"/>
    </row>
    <row r="9" spans="1:16" x14ac:dyDescent="0.3">
      <c r="A9" s="51"/>
      <c r="B9" s="57" t="s">
        <v>47</v>
      </c>
      <c r="C9" s="58">
        <f>Jan!B13</f>
        <v>0</v>
      </c>
      <c r="D9" s="58">
        <f>Fev!B13</f>
        <v>0</v>
      </c>
      <c r="E9" s="58">
        <f>Mar!B13</f>
        <v>0</v>
      </c>
      <c r="F9" s="58">
        <f>Abr!B13</f>
        <v>0</v>
      </c>
      <c r="G9" s="58">
        <f>Mai!B13</f>
        <v>0</v>
      </c>
      <c r="H9" s="58">
        <f>Jun!B13</f>
        <v>0</v>
      </c>
      <c r="I9" s="58">
        <f>Jul!B13</f>
        <v>0</v>
      </c>
      <c r="J9" s="58">
        <f>Ago!B13</f>
        <v>0</v>
      </c>
      <c r="K9" s="58">
        <f>Set!B13</f>
        <v>0</v>
      </c>
      <c r="L9" s="58">
        <f>Out!B13</f>
        <v>0</v>
      </c>
      <c r="M9" s="58">
        <f>Nov!B13</f>
        <v>0</v>
      </c>
      <c r="N9" s="58">
        <f>Dez!B13</f>
        <v>0</v>
      </c>
      <c r="O9" s="59">
        <f t="shared" ref="O9" si="0">SUM(C9:N9)</f>
        <v>0</v>
      </c>
      <c r="P9" s="51"/>
    </row>
    <row r="10" spans="1:16" x14ac:dyDescent="0.3">
      <c r="A10" s="51"/>
      <c r="B10" s="51"/>
      <c r="C10" s="51"/>
      <c r="D10" s="51"/>
      <c r="E10" s="51"/>
      <c r="F10" s="51"/>
      <c r="G10" s="51"/>
      <c r="H10" s="51"/>
      <c r="I10" s="51"/>
      <c r="J10" s="51"/>
      <c r="K10" s="51"/>
      <c r="L10" s="51"/>
      <c r="M10" s="51"/>
      <c r="N10" s="51"/>
      <c r="O10" s="51"/>
      <c r="P10" s="51"/>
    </row>
    <row r="11" spans="1:16" x14ac:dyDescent="0.3">
      <c r="A11" s="51"/>
      <c r="B11" s="51"/>
      <c r="C11" s="51"/>
      <c r="D11" s="51"/>
      <c r="E11" s="51"/>
      <c r="F11" s="51"/>
      <c r="G11" s="51"/>
      <c r="H11" s="51"/>
      <c r="I11" s="51"/>
      <c r="J11" s="51"/>
      <c r="K11" s="51"/>
      <c r="L11" s="51"/>
      <c r="M11" s="51"/>
      <c r="N11" s="51"/>
      <c r="O11" s="51"/>
      <c r="P11" s="51"/>
    </row>
    <row r="12" spans="1:16" x14ac:dyDescent="0.3">
      <c r="A12" s="51"/>
      <c r="B12" s="51"/>
      <c r="C12" s="51"/>
      <c r="D12" s="51"/>
      <c r="E12" s="51"/>
      <c r="F12" s="51"/>
      <c r="G12" s="51"/>
      <c r="H12" s="51"/>
      <c r="I12" s="51"/>
      <c r="J12" s="51"/>
      <c r="K12" s="51"/>
      <c r="L12" s="51"/>
      <c r="M12" s="51"/>
      <c r="N12" s="51"/>
      <c r="O12" s="51"/>
      <c r="P12" s="51"/>
    </row>
    <row r="13" spans="1:16" x14ac:dyDescent="0.3">
      <c r="A13" s="51"/>
      <c r="B13" s="51"/>
      <c r="C13" s="51"/>
      <c r="D13" s="51"/>
      <c r="E13" s="51"/>
      <c r="F13" s="51"/>
      <c r="G13" s="51"/>
      <c r="H13" s="51"/>
      <c r="I13" s="51"/>
      <c r="J13" s="51"/>
      <c r="K13" s="51"/>
      <c r="L13" s="51"/>
      <c r="M13" s="51"/>
      <c r="N13" s="51"/>
      <c r="O13" s="51"/>
      <c r="P13" s="51"/>
    </row>
    <row r="14" spans="1:16" x14ac:dyDescent="0.3">
      <c r="A14" s="51"/>
      <c r="B14" s="51"/>
      <c r="C14" s="51"/>
      <c r="D14" s="51"/>
      <c r="E14" s="51"/>
      <c r="F14" s="51"/>
      <c r="G14" s="51"/>
      <c r="H14" s="51"/>
      <c r="I14" s="51"/>
      <c r="J14" s="51"/>
      <c r="K14" s="51"/>
      <c r="L14" s="51"/>
      <c r="M14" s="51"/>
      <c r="N14" s="51"/>
      <c r="O14" s="51"/>
      <c r="P14" s="51"/>
    </row>
    <row r="15" spans="1:16" x14ac:dyDescent="0.3">
      <c r="A15" s="51"/>
      <c r="B15" s="51"/>
      <c r="C15" s="51"/>
      <c r="D15" s="51"/>
      <c r="E15" s="51"/>
      <c r="F15" s="51"/>
      <c r="G15" s="51"/>
      <c r="H15" s="51"/>
      <c r="I15" s="51"/>
      <c r="J15" s="51"/>
      <c r="K15" s="51"/>
      <c r="L15" s="51"/>
      <c r="M15" s="51"/>
      <c r="N15" s="51"/>
      <c r="O15" s="51"/>
      <c r="P15" s="51"/>
    </row>
    <row r="16" spans="1:16" x14ac:dyDescent="0.3">
      <c r="A16" s="51"/>
      <c r="B16" s="51"/>
      <c r="C16" s="51"/>
      <c r="D16" s="51"/>
      <c r="E16" s="51"/>
      <c r="F16" s="51"/>
      <c r="G16" s="51"/>
      <c r="H16" s="51"/>
      <c r="I16" s="51"/>
      <c r="J16" s="51"/>
      <c r="K16" s="51"/>
      <c r="L16" s="51"/>
      <c r="M16" s="51"/>
      <c r="N16" s="51"/>
      <c r="O16" s="51"/>
      <c r="P16" s="51"/>
    </row>
    <row r="17" spans="1:16" x14ac:dyDescent="0.3">
      <c r="A17" s="51"/>
      <c r="B17" s="51"/>
      <c r="C17" s="51"/>
      <c r="D17" s="51"/>
      <c r="E17" s="51"/>
      <c r="F17" s="51"/>
      <c r="G17" s="51"/>
      <c r="H17" s="51"/>
      <c r="I17" s="51"/>
      <c r="J17" s="51"/>
      <c r="K17" s="51"/>
      <c r="L17" s="51"/>
      <c r="M17" s="51"/>
      <c r="N17" s="51"/>
      <c r="O17" s="51"/>
      <c r="P17" s="51"/>
    </row>
    <row r="18" spans="1:16" x14ac:dyDescent="0.3">
      <c r="A18" s="51"/>
      <c r="B18" s="51"/>
      <c r="C18" s="51"/>
      <c r="D18" s="51"/>
      <c r="E18" s="51"/>
      <c r="F18" s="51"/>
      <c r="G18" s="51"/>
      <c r="H18" s="51"/>
      <c r="I18" s="51"/>
      <c r="J18" s="51"/>
      <c r="K18" s="51"/>
      <c r="L18" s="51"/>
      <c r="M18" s="51"/>
      <c r="N18" s="51"/>
      <c r="O18" s="51"/>
      <c r="P18" s="51"/>
    </row>
    <row r="19" spans="1:16" x14ac:dyDescent="0.3">
      <c r="A19" s="51"/>
      <c r="B19" s="51"/>
      <c r="C19" s="51"/>
      <c r="D19" s="51"/>
      <c r="E19" s="51"/>
      <c r="F19" s="51"/>
      <c r="G19" s="51"/>
      <c r="H19" s="51"/>
      <c r="I19" s="51"/>
      <c r="J19" s="51"/>
      <c r="K19" s="51"/>
      <c r="L19" s="51"/>
      <c r="M19" s="51"/>
      <c r="N19" s="51"/>
      <c r="O19" s="51"/>
      <c r="P19" s="51"/>
    </row>
    <row r="20" spans="1:16" x14ac:dyDescent="0.3">
      <c r="A20" s="51"/>
      <c r="B20" s="51"/>
      <c r="C20" s="51"/>
      <c r="D20" s="51"/>
      <c r="E20" s="51"/>
      <c r="F20" s="51"/>
      <c r="G20" s="51"/>
      <c r="H20" s="51"/>
      <c r="I20" s="51"/>
      <c r="J20" s="51"/>
      <c r="K20" s="51"/>
      <c r="L20" s="51"/>
      <c r="M20" s="51"/>
      <c r="N20" s="51"/>
      <c r="O20" s="51"/>
      <c r="P20" s="51"/>
    </row>
    <row r="21" spans="1:16" x14ac:dyDescent="0.3">
      <c r="A21" s="51"/>
      <c r="B21" s="51"/>
      <c r="C21" s="51"/>
      <c r="D21" s="51"/>
      <c r="E21" s="51"/>
      <c r="F21" s="51"/>
      <c r="G21" s="51"/>
      <c r="H21" s="51"/>
      <c r="I21" s="51"/>
      <c r="J21" s="51"/>
      <c r="K21" s="51"/>
      <c r="L21" s="51"/>
      <c r="M21" s="51"/>
      <c r="N21" s="51"/>
      <c r="O21" s="51"/>
      <c r="P21" s="51"/>
    </row>
    <row r="22" spans="1:16" x14ac:dyDescent="0.3">
      <c r="A22" s="51"/>
      <c r="B22" s="51"/>
      <c r="C22" s="51"/>
      <c r="D22" s="51"/>
      <c r="E22" s="51"/>
      <c r="F22" s="51"/>
      <c r="G22" s="51"/>
      <c r="H22" s="51"/>
      <c r="I22" s="51"/>
      <c r="J22" s="51"/>
      <c r="K22" s="51"/>
      <c r="L22" s="51"/>
      <c r="M22" s="51"/>
      <c r="N22" s="51"/>
      <c r="O22" s="51"/>
      <c r="P22" s="51"/>
    </row>
  </sheetData>
  <sheetProtection algorithmName="SHA-512" hashValue="8xROGtBqOnIoWgDe+56mkZ610SIgQv91I4AoS9osKjyglPkxh+9ekN7zeJj3pUiwQnoiFVhOv4ZeR/f4Kd9Cqg==" saltValue="GapO4syqEZkVAj8/DKq9QQ==" spinCount="100000" sheet="1" selectLockedCells="1"/>
  <mergeCells count="1">
    <mergeCell ref="A2:G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autoPageBreaks="0" fitToPage="1"/>
  </sheetPr>
  <dimension ref="A1:Q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7" s="13" customFormat="1" ht="19.95" customHeight="1" x14ac:dyDescent="0.45">
      <c r="A1" s="12">
        <f ca="1">NOW()</f>
        <v>44791.47886412037</v>
      </c>
    </row>
    <row r="2" spans="1:17" s="13" customFormat="1" ht="94.8" customHeight="1" x14ac:dyDescent="0.3">
      <c r="A2" s="92" t="s">
        <v>56</v>
      </c>
      <c r="B2" s="92"/>
      <c r="C2" s="92"/>
      <c r="D2" s="92"/>
      <c r="E2" s="92"/>
      <c r="F2" s="92"/>
      <c r="G2" s="92"/>
      <c r="H2" s="84"/>
      <c r="I2" s="85"/>
      <c r="J2" s="77"/>
      <c r="K2" s="77"/>
      <c r="L2" s="77"/>
    </row>
    <row r="3" spans="1:17" s="15" customFormat="1" ht="15" customHeight="1" x14ac:dyDescent="0.3"/>
    <row r="4" spans="1:17"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row>
    <row r="5" spans="1:17" s="15" customFormat="1" ht="15.6" customHeight="1" x14ac:dyDescent="0.3">
      <c r="A5" s="6" t="s">
        <v>12</v>
      </c>
      <c r="B5" s="7">
        <v>100</v>
      </c>
      <c r="H5" s="91"/>
      <c r="I5" s="91"/>
      <c r="K5" s="76" t="str">
        <f>IF(I8&gt;0,"Parabéns! Invista na Mais Previdência", IF(I8&lt;0,"Atenção! Cuidado com sua saúde financeira.",""))</f>
        <v/>
      </c>
      <c r="L5" s="76"/>
    </row>
    <row r="6" spans="1:17" s="15" customFormat="1" ht="15.6" customHeight="1" x14ac:dyDescent="0.3">
      <c r="A6" s="8" t="s">
        <v>0</v>
      </c>
      <c r="B6" s="9">
        <v>10</v>
      </c>
      <c r="D6" s="93" t="s">
        <v>49</v>
      </c>
      <c r="E6" s="93"/>
      <c r="F6" s="88">
        <f>B9-B12</f>
        <v>220</v>
      </c>
      <c r="H6" s="91"/>
      <c r="I6" s="91"/>
      <c r="J6" s="62"/>
      <c r="K6" s="76"/>
      <c r="L6" s="76"/>
    </row>
    <row r="7" spans="1:17" s="15" customFormat="1" ht="15.6" customHeight="1" x14ac:dyDescent="0.3">
      <c r="A7" s="8" t="s">
        <v>13</v>
      </c>
      <c r="B7" s="9">
        <v>10</v>
      </c>
      <c r="D7" s="93"/>
      <c r="E7" s="93"/>
      <c r="F7" s="88"/>
      <c r="H7" s="91"/>
      <c r="I7" s="91"/>
      <c r="J7" s="62"/>
      <c r="K7" s="76"/>
      <c r="L7" s="76"/>
    </row>
    <row r="8" spans="1:17" s="15" customFormat="1" ht="15.6" customHeight="1" x14ac:dyDescent="0.3">
      <c r="A8" s="8" t="s">
        <v>14</v>
      </c>
      <c r="B8" s="9">
        <v>100</v>
      </c>
      <c r="D8" s="94" t="s">
        <v>50</v>
      </c>
      <c r="E8" s="94"/>
      <c r="F8" s="95">
        <f>B9-B13</f>
        <v>220</v>
      </c>
      <c r="H8" s="91"/>
      <c r="I8" s="91"/>
      <c r="J8" s="62"/>
      <c r="K8" s="76"/>
      <c r="L8" s="76"/>
    </row>
    <row r="9" spans="1:17" s="15" customFormat="1" ht="18" customHeight="1" x14ac:dyDescent="0.3">
      <c r="A9" s="10" t="s">
        <v>1</v>
      </c>
      <c r="B9" s="11">
        <f>SUM(B5:B8)</f>
        <v>220</v>
      </c>
      <c r="D9" s="94"/>
      <c r="E9" s="94"/>
      <c r="F9" s="95"/>
      <c r="G9" s="60"/>
      <c r="H9" s="91"/>
      <c r="I9" s="91"/>
      <c r="J9" s="62"/>
      <c r="K9" s="76"/>
      <c r="L9" s="76"/>
    </row>
    <row r="10" spans="1:17" s="15" customFormat="1" ht="30" customHeight="1" x14ac:dyDescent="0.3">
      <c r="A10" s="5"/>
      <c r="B10" s="5"/>
      <c r="D10" s="61"/>
      <c r="E10" s="61"/>
      <c r="F10" s="61"/>
      <c r="G10" s="60"/>
      <c r="H10" s="91"/>
      <c r="I10" s="91"/>
      <c r="J10" s="17"/>
      <c r="K10" s="76"/>
      <c r="L10" s="76"/>
    </row>
    <row r="11" spans="1:17" s="15" customFormat="1" ht="30" customHeight="1" x14ac:dyDescent="0.3">
      <c r="A11" s="86" t="s">
        <v>48</v>
      </c>
      <c r="B11" s="87"/>
      <c r="C11" s="16"/>
      <c r="D11" s="61"/>
      <c r="E11" s="61"/>
      <c r="F11" s="61"/>
      <c r="G11" s="60"/>
      <c r="I11" s="79"/>
      <c r="J11" s="79"/>
      <c r="K11" s="79"/>
      <c r="L11" s="79"/>
    </row>
    <row r="12" spans="1:17" s="15" customFormat="1" ht="15.6" customHeight="1" x14ac:dyDescent="0.3">
      <c r="A12" s="73" t="s">
        <v>16</v>
      </c>
      <c r="B12" s="72">
        <f>SUM(Moradia[Orçado],Lazer[Orçado],Saúde[Orçado],Alimentação[Orçado],Pessoaleducacao[Orçado],Transporte[Orçado],Investimentos[Orçado],Outros[Orçado])</f>
        <v>0</v>
      </c>
      <c r="D12" s="100"/>
      <c r="E12" s="100"/>
      <c r="F12" s="100"/>
      <c r="G12" s="89"/>
      <c r="H12" s="79"/>
      <c r="I12" s="79"/>
      <c r="J12" s="79"/>
      <c r="K12" s="79"/>
      <c r="L12" s="79"/>
    </row>
    <row r="13" spans="1:17" s="15" customFormat="1" ht="15.6" customHeight="1" x14ac:dyDescent="0.3">
      <c r="A13" s="74" t="s">
        <v>17</v>
      </c>
      <c r="B13" s="69">
        <f>SUM(Moradia[Real],Lazer[Real],Saúde[Real],Alimentação[Real],Pessoaleducacao[Real],Transporte[Real],Investimentos[Real],Outros[Real])</f>
        <v>0</v>
      </c>
      <c r="D13" s="100"/>
      <c r="E13" s="100"/>
      <c r="F13" s="100"/>
      <c r="G13" s="89"/>
      <c r="H13" s="84" t="s">
        <v>68</v>
      </c>
      <c r="I13" s="84"/>
      <c r="J13" s="79"/>
      <c r="K13" s="79"/>
      <c r="L13" s="79"/>
    </row>
    <row r="14" spans="1:17" s="15" customFormat="1" ht="18" x14ac:dyDescent="0.3">
      <c r="A14" s="70" t="s">
        <v>10</v>
      </c>
      <c r="B14" s="63">
        <f>B12-B13</f>
        <v>0</v>
      </c>
      <c r="C14" s="71" t="str">
        <f>IF(B14&gt;0,"Você está dentro do orçamento", IF(B14&lt;0,"Você está fora do orçamento",""))</f>
        <v/>
      </c>
      <c r="H14" s="84"/>
      <c r="I14" s="84"/>
    </row>
    <row r="15" spans="1:17" ht="37.799999999999997" customHeight="1" x14ac:dyDescent="0.3">
      <c r="A15" s="18"/>
      <c r="B15" s="19"/>
      <c r="H15" s="84"/>
      <c r="I15" s="84"/>
    </row>
    <row r="16" spans="1:17" ht="30" customHeight="1" x14ac:dyDescent="0.3">
      <c r="A16" s="101" t="s">
        <v>2</v>
      </c>
      <c r="B16" s="101"/>
      <c r="C16" s="101"/>
      <c r="D16" s="101"/>
      <c r="E16" s="20"/>
      <c r="F16" s="67"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Moradia[[#This Row],[Orçado]]-Moradia[[#This Row],[Real]]</f>
        <v>0</v>
      </c>
      <c r="E18" s="27"/>
      <c r="F18" s="25" t="s">
        <v>26</v>
      </c>
      <c r="G18" s="26"/>
      <c r="H18" s="26"/>
      <c r="I18" s="69">
        <f>Lazer[[#This Row],[Orçado]]-Lazer[[#This Row],[Real]]</f>
        <v>0</v>
      </c>
      <c r="M18" s="78"/>
      <c r="N18" s="78"/>
      <c r="O18" s="78"/>
      <c r="P18" s="78"/>
      <c r="Q18" s="78"/>
    </row>
    <row r="19" spans="1:17" ht="15.6" x14ac:dyDescent="0.3">
      <c r="A19" s="25" t="s">
        <v>22</v>
      </c>
      <c r="B19" s="26"/>
      <c r="C19" s="26"/>
      <c r="D19" s="69">
        <f>Moradia[[#This Row],[Orçado]]-Moradia[[#This Row],[Real]]</f>
        <v>0</v>
      </c>
      <c r="E19" s="28"/>
      <c r="F19" s="25" t="s">
        <v>27</v>
      </c>
      <c r="G19" s="26"/>
      <c r="H19" s="26"/>
      <c r="I19" s="69">
        <f>Lazer[[#This Row],[Orçado]]-Lazer[[#This Row],[Real]]</f>
        <v>0</v>
      </c>
      <c r="M19" s="78"/>
      <c r="N19" s="78"/>
      <c r="O19" s="78"/>
      <c r="P19" s="78"/>
      <c r="Q19" s="78"/>
    </row>
    <row r="20" spans="1:17" ht="15.6" x14ac:dyDescent="0.3">
      <c r="A20" s="25" t="s">
        <v>23</v>
      </c>
      <c r="B20" s="26"/>
      <c r="C20" s="26"/>
      <c r="D20" s="69">
        <f>Moradia[[#This Row],[Orçado]]-Moradia[[#This Row],[Real]]</f>
        <v>0</v>
      </c>
      <c r="E20" s="28"/>
      <c r="F20" s="25" t="s">
        <v>34</v>
      </c>
      <c r="G20" s="26"/>
      <c r="H20" s="26"/>
      <c r="I20" s="69">
        <f>Lazer[[#This Row],[Orçado]]-Lazer[[#This Row],[Real]]</f>
        <v>0</v>
      </c>
      <c r="M20" s="78"/>
      <c r="N20" s="78"/>
      <c r="O20" s="78"/>
      <c r="P20" s="78"/>
      <c r="Q20" s="78"/>
    </row>
    <row r="21" spans="1:17" ht="15.6" x14ac:dyDescent="0.3">
      <c r="A21" s="25" t="s">
        <v>24</v>
      </c>
      <c r="B21" s="26"/>
      <c r="C21" s="26"/>
      <c r="D21" s="69">
        <f>Moradia[[#This Row],[Orçado]]-Moradia[[#This Row],[Real]]</f>
        <v>0</v>
      </c>
      <c r="E21" s="28"/>
      <c r="F21" s="25"/>
      <c r="G21" s="26"/>
      <c r="H21" s="26"/>
      <c r="I21" s="69">
        <f>Lazer[[#This Row],[Orçado]]-Lazer[[#This Row],[Real]]</f>
        <v>0</v>
      </c>
    </row>
    <row r="22" spans="1:17" ht="15.6" x14ac:dyDescent="0.3">
      <c r="A22" s="25" t="s">
        <v>25</v>
      </c>
      <c r="B22" s="26"/>
      <c r="C22" s="26"/>
      <c r="D22" s="69">
        <f>Moradia[[#This Row],[Orçado]]-Moradia[[#This Row],[Real]]</f>
        <v>0</v>
      </c>
      <c r="E22" s="28"/>
      <c r="F22" s="25"/>
      <c r="G22" s="26"/>
      <c r="H22" s="26"/>
      <c r="I22" s="69">
        <f>Lazer[[#This Row],[Orçado]]-Lazer[[#This Row],[Real]]</f>
        <v>0</v>
      </c>
    </row>
    <row r="23" spans="1:17" ht="15.6" x14ac:dyDescent="0.3">
      <c r="A23" s="25"/>
      <c r="B23" s="26"/>
      <c r="C23" s="26"/>
      <c r="D23" s="69">
        <f>Moradia[[#This Row],[Orçado]]-Moradia[[#This Row],[Real]]</f>
        <v>0</v>
      </c>
      <c r="E23" s="28"/>
      <c r="F23" s="29"/>
      <c r="G23" s="30"/>
      <c r="H23" s="30"/>
      <c r="I23" s="69">
        <f>Lazer[[#This Row],[Orçado]]-Lazer[[#This Row],[Real]]</f>
        <v>0</v>
      </c>
    </row>
    <row r="24" spans="1:17" ht="15.6" x14ac:dyDescent="0.3">
      <c r="A24" s="25" t="s">
        <v>4</v>
      </c>
      <c r="B24" s="26"/>
      <c r="C24" s="26"/>
      <c r="D24" s="69">
        <f>Moradia[[#This Row],[Orçado]]-Moradia[[#This Row],[Real]]</f>
        <v>0</v>
      </c>
      <c r="E24" s="28"/>
      <c r="F24" s="25" t="s">
        <v>4</v>
      </c>
      <c r="G24" s="26"/>
      <c r="H24" s="26"/>
      <c r="I24" s="69">
        <f>Lazer[[#This Row],[Orçado]]-Lazer[[#This Row],[Real]]</f>
        <v>0</v>
      </c>
    </row>
    <row r="25" spans="1:17" ht="18" x14ac:dyDescent="0.3">
      <c r="A25" s="66" t="s">
        <v>5</v>
      </c>
      <c r="B25" s="65">
        <f>SUM(Moradia[Orçado])</f>
        <v>0</v>
      </c>
      <c r="C25" s="65">
        <f>SUM(Moradia[Real])</f>
        <v>0</v>
      </c>
      <c r="D25" s="65">
        <f>SUM(Moradia[Diferença])</f>
        <v>0</v>
      </c>
      <c r="E25" s="28"/>
      <c r="F25" s="66" t="s">
        <v>5</v>
      </c>
      <c r="G25" s="65">
        <f>SUM(Lazer[Orçado])</f>
        <v>0</v>
      </c>
      <c r="H25" s="65">
        <f>SUM(Lazer[Real])</f>
        <v>0</v>
      </c>
      <c r="I25" s="65">
        <f>SUM(Lazer[Diferença])</f>
        <v>0</v>
      </c>
    </row>
    <row r="26" spans="1:17" ht="37.799999999999997" customHeight="1" x14ac:dyDescent="0.3">
      <c r="A26" s="18"/>
      <c r="B26" s="19"/>
    </row>
    <row r="27" spans="1:17" ht="30" customHeight="1" x14ac:dyDescent="0.3">
      <c r="A27" s="101" t="s">
        <v>7</v>
      </c>
      <c r="B27" s="101"/>
      <c r="C27" s="101"/>
      <c r="D27" s="101"/>
      <c r="E27" s="20"/>
      <c r="F27" s="67"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Saúde[[#This Row],[Orçado]]-Saúde[[#This Row],[Real]]</f>
        <v>0</v>
      </c>
      <c r="E29" s="27"/>
      <c r="F29" s="25" t="s">
        <v>8</v>
      </c>
      <c r="G29" s="26"/>
      <c r="H29" s="26"/>
      <c r="I29" s="69">
        <f>Alimentação[[#This Row],[Orçado]]-Alimentação[[#This Row],[Real]]</f>
        <v>0</v>
      </c>
    </row>
    <row r="30" spans="1:17" ht="15.6" x14ac:dyDescent="0.3">
      <c r="A30" s="25" t="s">
        <v>29</v>
      </c>
      <c r="B30" s="26"/>
      <c r="C30" s="26"/>
      <c r="D30" s="69">
        <f>Saúde[[#This Row],[Orçado]]-Saúde[[#This Row],[Real]]</f>
        <v>0</v>
      </c>
      <c r="E30" s="28"/>
      <c r="F30" s="25" t="s">
        <v>37</v>
      </c>
      <c r="G30" s="26"/>
      <c r="H30" s="26"/>
      <c r="I30" s="69">
        <f>Alimentação[[#This Row],[Orçado]]-Alimentação[[#This Row],[Real]]</f>
        <v>0</v>
      </c>
    </row>
    <row r="31" spans="1:17" ht="15.6" x14ac:dyDescent="0.3">
      <c r="A31" s="25" t="s">
        <v>35</v>
      </c>
      <c r="B31" s="26"/>
      <c r="C31" s="26"/>
      <c r="D31" s="69">
        <f>Saúde[[#This Row],[Orçado]]-Saúde[[#This Row],[Real]]</f>
        <v>0</v>
      </c>
      <c r="E31" s="28"/>
      <c r="F31" s="25"/>
      <c r="G31" s="26"/>
      <c r="H31" s="26"/>
      <c r="I31" s="69">
        <f>Alimentação[[#This Row],[Orçado]]-Alimentação[[#This Row],[Real]]</f>
        <v>0</v>
      </c>
    </row>
    <row r="32" spans="1:17" ht="15.6" x14ac:dyDescent="0.3">
      <c r="A32" s="25"/>
      <c r="B32" s="26"/>
      <c r="C32" s="26"/>
      <c r="D32" s="69">
        <f>Saúde[[#This Row],[Orçado]]-Saúde[[#This Row],[Real]]</f>
        <v>0</v>
      </c>
      <c r="E32" s="28"/>
      <c r="F32" s="25"/>
      <c r="G32" s="26"/>
      <c r="H32" s="26"/>
      <c r="I32" s="69">
        <f>Alimentação[[#This Row],[Orçado]]-Alimentação[[#This Row],[Real]]</f>
        <v>0</v>
      </c>
    </row>
    <row r="33" spans="1:11" ht="15.6" x14ac:dyDescent="0.3">
      <c r="A33" s="25"/>
      <c r="B33" s="26"/>
      <c r="C33" s="26"/>
      <c r="D33" s="69">
        <f>Saúde[[#This Row],[Orçado]]-Saúde[[#This Row],[Real]]</f>
        <v>0</v>
      </c>
      <c r="E33" s="28"/>
      <c r="F33" s="25"/>
      <c r="G33" s="26"/>
      <c r="H33" s="26"/>
      <c r="I33" s="69">
        <f>Alimentação[[#This Row],[Orçado]]-Alimentação[[#This Row],[Real]]</f>
        <v>0</v>
      </c>
    </row>
    <row r="34" spans="1:11" ht="15.6" x14ac:dyDescent="0.3">
      <c r="A34" s="25"/>
      <c r="B34" s="26"/>
      <c r="C34" s="26"/>
      <c r="D34" s="69">
        <f>Saúde[[#This Row],[Orçado]]-Saúde[[#This Row],[Real]]</f>
        <v>0</v>
      </c>
      <c r="E34" s="28"/>
      <c r="F34" s="29"/>
      <c r="G34" s="30"/>
      <c r="H34" s="30"/>
      <c r="I34" s="69">
        <f>Alimentação[[#This Row],[Orçado]]-Alimentação[[#This Row],[Real]]</f>
        <v>0</v>
      </c>
    </row>
    <row r="35" spans="1:11" ht="15.6" x14ac:dyDescent="0.3">
      <c r="A35" s="25" t="s">
        <v>4</v>
      </c>
      <c r="B35" s="26"/>
      <c r="C35" s="26"/>
      <c r="D35" s="69">
        <f>Saúde[[#This Row],[Orçado]]-Saúde[[#This Row],[Real]]</f>
        <v>0</v>
      </c>
      <c r="E35" s="28"/>
      <c r="F35" s="25" t="s">
        <v>4</v>
      </c>
      <c r="G35" s="26"/>
      <c r="H35" s="26"/>
      <c r="I35" s="69">
        <f>Alimentação[[#This Row],[Orçado]]-Alimentação[[#This Row],[Real]]</f>
        <v>0</v>
      </c>
    </row>
    <row r="36" spans="1:11" ht="18" x14ac:dyDescent="0.3">
      <c r="A36" s="66" t="s">
        <v>5</v>
      </c>
      <c r="B36" s="65">
        <f>SUM(Saúde[Orçado])</f>
        <v>0</v>
      </c>
      <c r="C36" s="65">
        <f>SUM(Saúde[Real])</f>
        <v>0</v>
      </c>
      <c r="D36" s="65">
        <f>SUM(Saúde[Diferença])</f>
        <v>0</v>
      </c>
      <c r="E36" s="28"/>
      <c r="F36" s="66" t="s">
        <v>5</v>
      </c>
      <c r="G36" s="65">
        <f>SUM(Alimentação[Orçado])</f>
        <v>0</v>
      </c>
      <c r="H36" s="65">
        <f>SUM(Alimentação[Real])</f>
        <v>0</v>
      </c>
      <c r="I36" s="65">
        <f>SUM(Alimentação[Diferença])</f>
        <v>0</v>
      </c>
    </row>
    <row r="37" spans="1:11" ht="30" customHeight="1" x14ac:dyDescent="0.3">
      <c r="A37" s="32"/>
      <c r="B37" s="33"/>
      <c r="C37" s="33"/>
      <c r="D37" s="34"/>
      <c r="E37" s="28"/>
    </row>
    <row r="38" spans="1:11" ht="30" customHeight="1" x14ac:dyDescent="0.3">
      <c r="A38" s="101" t="s">
        <v>40</v>
      </c>
      <c r="B38" s="101"/>
      <c r="C38" s="101"/>
      <c r="D38" s="101"/>
      <c r="E38" s="28"/>
      <c r="F38" s="67"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Pessoaleducacao[[#This Row],[Orçado]]-Pessoaleducacao[[#This Row],[Real]]</f>
        <v>0</v>
      </c>
      <c r="E40" s="37"/>
      <c r="F40" s="25" t="s">
        <v>30</v>
      </c>
      <c r="G40" s="26"/>
      <c r="H40" s="26"/>
      <c r="I40" s="69">
        <f>Transporte[[#This Row],[Orçado]]-Transporte[[#This Row],[Real]]</f>
        <v>0</v>
      </c>
    </row>
    <row r="41" spans="1:11" ht="15.6" x14ac:dyDescent="0.3">
      <c r="A41" s="25" t="s">
        <v>9</v>
      </c>
      <c r="B41" s="26"/>
      <c r="C41" s="26"/>
      <c r="D41" s="69">
        <f>Pessoaleducacao[[#This Row],[Orçado]]-Pessoaleducacao[[#This Row],[Real]]</f>
        <v>0</v>
      </c>
      <c r="E41" s="28"/>
      <c r="F41" s="25" t="s">
        <v>31</v>
      </c>
      <c r="G41" s="26"/>
      <c r="H41" s="26"/>
      <c r="I41" s="69">
        <f>Transporte[[#This Row],[Orçado]]-Transporte[[#This Row],[Real]]</f>
        <v>0</v>
      </c>
    </row>
    <row r="42" spans="1:11" ht="15.6" x14ac:dyDescent="0.3">
      <c r="A42" s="25" t="s">
        <v>41</v>
      </c>
      <c r="B42" s="26"/>
      <c r="C42" s="26"/>
      <c r="D42" s="69">
        <f>Pessoaleducacao[[#This Row],[Orçado]]-Pessoaleducacao[[#This Row],[Real]]</f>
        <v>0</v>
      </c>
      <c r="E42" s="28"/>
      <c r="F42" s="25" t="s">
        <v>32</v>
      </c>
      <c r="G42" s="26"/>
      <c r="H42" s="26"/>
      <c r="I42" s="69">
        <f>Transporte[[#This Row],[Orçado]]-Transporte[[#This Row],[Real]]</f>
        <v>0</v>
      </c>
    </row>
    <row r="43" spans="1:11" ht="15.6" x14ac:dyDescent="0.3">
      <c r="A43" s="25" t="s">
        <v>42</v>
      </c>
      <c r="B43" s="26"/>
      <c r="C43" s="26"/>
      <c r="D43" s="69">
        <f>Pessoaleducacao[[#This Row],[Orçado]]-Pessoaleducacao[[#This Row],[Real]]</f>
        <v>0</v>
      </c>
      <c r="E43" s="28"/>
      <c r="F43" s="25"/>
      <c r="G43" s="26"/>
      <c r="H43" s="26"/>
      <c r="I43" s="69">
        <f>Transporte[[#This Row],[Orçado]]-Transporte[[#This Row],[Real]]</f>
        <v>0</v>
      </c>
    </row>
    <row r="44" spans="1:11" ht="15.6" x14ac:dyDescent="0.3">
      <c r="A44" s="25" t="s">
        <v>43</v>
      </c>
      <c r="B44" s="26"/>
      <c r="C44" s="26"/>
      <c r="D44" s="69">
        <f>Pessoaleducacao[[#This Row],[Orçado]]-Pessoaleducacao[[#This Row],[Real]]</f>
        <v>0</v>
      </c>
      <c r="E44" s="28"/>
      <c r="F44" s="25"/>
      <c r="G44" s="26"/>
      <c r="H44" s="26"/>
      <c r="I44" s="69">
        <f>Transporte[[#This Row],[Orçado]]-Transporte[[#This Row],[Real]]</f>
        <v>0</v>
      </c>
    </row>
    <row r="45" spans="1:11" ht="15.6" x14ac:dyDescent="0.3">
      <c r="A45" s="25"/>
      <c r="B45" s="26"/>
      <c r="C45" s="26"/>
      <c r="D45" s="69">
        <f>Pessoaleducacao[[#This Row],[Orçado]]-Pessoaleducacao[[#This Row],[Real]]</f>
        <v>0</v>
      </c>
      <c r="E45" s="28"/>
      <c r="F45" s="29"/>
      <c r="G45" s="30"/>
      <c r="H45" s="30"/>
      <c r="I45" s="69">
        <f>Transporte[[#This Row],[Orçado]]-Transporte[[#This Row],[Real]]</f>
        <v>0</v>
      </c>
      <c r="J45" s="38"/>
      <c r="K45" s="38"/>
    </row>
    <row r="46" spans="1:11" ht="15.6" x14ac:dyDescent="0.3">
      <c r="A46" s="39" t="s">
        <v>4</v>
      </c>
      <c r="B46" s="40"/>
      <c r="C46" s="40"/>
      <c r="D46" s="69">
        <f>Pessoaleducacao[[#This Row],[Orçado]]-Pessoaleducacao[[#This Row],[Real]]</f>
        <v>0</v>
      </c>
      <c r="E46" s="28"/>
      <c r="F46" s="25" t="s">
        <v>4</v>
      </c>
      <c r="G46" s="26"/>
      <c r="H46" s="26"/>
      <c r="I46" s="69">
        <f>Transporte[[#This Row],[Orçado]]-Transporte[[#This Row],[Real]]</f>
        <v>0</v>
      </c>
      <c r="J46" s="38"/>
      <c r="K46" s="38"/>
    </row>
    <row r="47" spans="1:11" ht="18" x14ac:dyDescent="0.3">
      <c r="A47" s="66" t="s">
        <v>5</v>
      </c>
      <c r="B47" s="65">
        <f>SUM(Pessoaleducacao[Orçado])</f>
        <v>0</v>
      </c>
      <c r="C47" s="65">
        <f>SUM(Pessoaleducacao[Real])</f>
        <v>0</v>
      </c>
      <c r="D47" s="65">
        <f>SUM(Pessoaleducacao[Diferença])</f>
        <v>0</v>
      </c>
      <c r="E47" s="28"/>
      <c r="F47" s="66" t="s">
        <v>5</v>
      </c>
      <c r="G47" s="65">
        <f>SUM(Transporte[Orçado])</f>
        <v>0</v>
      </c>
      <c r="H47" s="65">
        <f>SUM(Transporte[Real])</f>
        <v>0</v>
      </c>
      <c r="I47" s="65">
        <f>SUM(Transporte[Diferença])</f>
        <v>0</v>
      </c>
      <c r="J47" s="38"/>
      <c r="K47" s="38"/>
    </row>
    <row r="48" spans="1:11" s="31" customFormat="1" ht="30" customHeight="1" x14ac:dyDescent="0.3">
      <c r="A48" s="99"/>
      <c r="B48" s="99"/>
      <c r="C48" s="99"/>
      <c r="D48" s="99"/>
      <c r="E48" s="37"/>
      <c r="F48" s="5"/>
      <c r="G48" s="5"/>
      <c r="H48" s="5"/>
      <c r="I48" s="5"/>
    </row>
    <row r="49" spans="1:9" ht="30" customHeight="1" x14ac:dyDescent="0.3">
      <c r="A49" s="67" t="s">
        <v>11</v>
      </c>
      <c r="B49" s="68"/>
      <c r="C49" s="68"/>
      <c r="D49" s="68"/>
      <c r="E49" s="28"/>
      <c r="F49" s="67"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Investimentos[[#This Row],[Orçado]]-Investimentos[[#This Row],[Real]]</f>
        <v>0</v>
      </c>
      <c r="E51" s="28"/>
      <c r="F51" s="35" t="s">
        <v>38</v>
      </c>
      <c r="G51" s="36"/>
      <c r="H51" s="36"/>
      <c r="I51" s="69">
        <f>Outros[[#This Row],[Orçado]]-Outros[[#This Row],[Real]]</f>
        <v>0</v>
      </c>
    </row>
    <row r="52" spans="1:9" ht="15.6" customHeight="1" x14ac:dyDescent="0.3">
      <c r="A52" s="25" t="s">
        <v>20</v>
      </c>
      <c r="B52" s="30"/>
      <c r="C52" s="30"/>
      <c r="D52" s="69">
        <f>Investimentos[[#This Row],[Orçado]]-Investimentos[[#This Row],[Real]]</f>
        <v>0</v>
      </c>
      <c r="E52" s="28"/>
      <c r="F52" s="25" t="s">
        <v>39</v>
      </c>
      <c r="G52" s="30"/>
      <c r="H52" s="30"/>
      <c r="I52" s="69">
        <f>Outros[[#This Row],[Orçado]]-Outros[[#This Row],[Real]]</f>
        <v>0</v>
      </c>
    </row>
    <row r="53" spans="1:9" ht="15.6" customHeight="1" x14ac:dyDescent="0.3">
      <c r="A53" s="25" t="s">
        <v>11</v>
      </c>
      <c r="B53" s="30"/>
      <c r="C53" s="30"/>
      <c r="D53" s="69">
        <f>Investimentos[[#This Row],[Orçado]]-Investimentos[[#This Row],[Real]]</f>
        <v>0</v>
      </c>
      <c r="E53" s="28"/>
      <c r="F53" s="25"/>
      <c r="G53" s="30"/>
      <c r="H53" s="30"/>
      <c r="I53" s="69">
        <f>Outros[[#This Row],[Orçado]]-Outros[[#This Row],[Real]]</f>
        <v>0</v>
      </c>
    </row>
    <row r="54" spans="1:9" ht="15.6" customHeight="1" x14ac:dyDescent="0.3">
      <c r="A54" s="25"/>
      <c r="B54" s="26"/>
      <c r="C54" s="26"/>
      <c r="D54" s="69">
        <f>Investimentos[[#This Row],[Orçado]]-Investimentos[[#This Row],[Real]]</f>
        <v>0</v>
      </c>
      <c r="E54" s="28"/>
      <c r="F54" s="25"/>
      <c r="G54" s="26"/>
      <c r="H54" s="26"/>
      <c r="I54" s="69">
        <f>Outros[[#This Row],[Orçado]]-Outros[[#This Row],[Real]]</f>
        <v>0</v>
      </c>
    </row>
    <row r="55" spans="1:9" s="31" customFormat="1" ht="15.6" customHeight="1" x14ac:dyDescent="0.3">
      <c r="A55" s="29"/>
      <c r="B55" s="30"/>
      <c r="C55" s="30"/>
      <c r="D55" s="69">
        <f>Investimentos[[#This Row],[Orçado]]-Investimentos[[#This Row],[Real]]</f>
        <v>0</v>
      </c>
      <c r="E55" s="37"/>
      <c r="F55" s="29"/>
      <c r="G55" s="30"/>
      <c r="H55" s="30"/>
      <c r="I55" s="69">
        <f>Outros[[#This Row],[Orçado]]-Outros[[#This Row],[Real]]</f>
        <v>0</v>
      </c>
    </row>
    <row r="56" spans="1:9" s="31" customFormat="1" ht="15.6" x14ac:dyDescent="0.3">
      <c r="A56" s="29"/>
      <c r="B56" s="30"/>
      <c r="C56" s="30"/>
      <c r="D56" s="69">
        <f>Investimentos[[#This Row],[Orçado]]-Investimentos[[#This Row],[Real]]</f>
        <v>0</v>
      </c>
      <c r="E56" s="37"/>
      <c r="F56" s="29"/>
      <c r="G56" s="30"/>
      <c r="H56" s="30"/>
      <c r="I56" s="69">
        <f>Outros[[#This Row],[Orçado]]-Outros[[#This Row],[Real]]</f>
        <v>0</v>
      </c>
    </row>
    <row r="57" spans="1:9" s="31" customFormat="1" ht="15.6" x14ac:dyDescent="0.3">
      <c r="A57" s="25" t="s">
        <v>4</v>
      </c>
      <c r="B57" s="26"/>
      <c r="C57" s="26"/>
      <c r="D57" s="69">
        <f>Investimentos[[#This Row],[Orçado]]-Investimentos[[#This Row],[Real]]</f>
        <v>0</v>
      </c>
      <c r="E57" s="37"/>
      <c r="F57" s="25" t="s">
        <v>4</v>
      </c>
      <c r="G57" s="26"/>
      <c r="H57" s="26"/>
      <c r="I57" s="69">
        <f>Outros[[#This Row],[Orçado]]-Outros[[#This Row],[Real]]</f>
        <v>0</v>
      </c>
    </row>
    <row r="58" spans="1:9" ht="18" x14ac:dyDescent="0.3">
      <c r="A58" s="64" t="s">
        <v>5</v>
      </c>
      <c r="B58" s="65">
        <f>SUM(Investimentos[Orçado])</f>
        <v>0</v>
      </c>
      <c r="C58" s="65">
        <f>SUM(Investimentos[Real])</f>
        <v>0</v>
      </c>
      <c r="D58" s="65">
        <f>SUM(Investimentos[Diferença])</f>
        <v>0</v>
      </c>
      <c r="E58" s="28"/>
      <c r="F58" s="64" t="s">
        <v>5</v>
      </c>
      <c r="G58" s="65">
        <f>SUM(Outros[Orçado])</f>
        <v>0</v>
      </c>
      <c r="H58" s="65">
        <f>SUM(Outros[Real])</f>
        <v>0</v>
      </c>
      <c r="I58" s="65">
        <f>SUM(Outros[Diferença])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OvJQ9heVepZQ5njLPO6z232CGGtkUPRiQHbSxPT9QoKHEjIZveaaJFcGO5vtqImQEULqtxf4ce/B+3TVX2rBKw==" saltValue="La8ac/ons6rYqY8Aq9I4dA==" spinCount="100000" sheet="1" selectLockedCells="1"/>
  <mergeCells count="17">
    <mergeCell ref="A61:D61"/>
    <mergeCell ref="A48:D48"/>
    <mergeCell ref="D12:F13"/>
    <mergeCell ref="A16:D16"/>
    <mergeCell ref="A27:D27"/>
    <mergeCell ref="A38:D38"/>
    <mergeCell ref="H2:I2"/>
    <mergeCell ref="A11:B11"/>
    <mergeCell ref="F6:F7"/>
    <mergeCell ref="G12:G13"/>
    <mergeCell ref="H4:I10"/>
    <mergeCell ref="A2:G2"/>
    <mergeCell ref="D6:E7"/>
    <mergeCell ref="D8:E9"/>
    <mergeCell ref="F8:F9"/>
    <mergeCell ref="A4:B4"/>
    <mergeCell ref="H13:I15"/>
  </mergeCells>
  <phoneticPr fontId="31" type="noConversion"/>
  <conditionalFormatting sqref="J6:J9">
    <cfRule type="containsText" dxfId="1391" priority="5" operator="containsText" text="Atenção! Cuidado com sua saúde financeira">
      <formula>NOT(ISERROR(SEARCH("Atenção! Cuidado com sua saúde financeira",J6)))</formula>
    </cfRule>
  </conditionalFormatting>
  <conditionalFormatting sqref="C14">
    <cfRule type="containsText" dxfId="1390" priority="3" operator="containsText" text="Você está dentro do orçamento">
      <formula>NOT(ISERROR(SEARCH("Você está dentro do orçamento",C14)))</formula>
    </cfRule>
    <cfRule type="containsText" dxfId="1389" priority="4" operator="containsText" text="Você está fora do orçamento">
      <formula>NOT(ISERROR(SEARCH("Você está fora do orçamento",C14)))</formula>
    </cfRule>
  </conditionalFormatting>
  <conditionalFormatting sqref="H4 J4:L10">
    <cfRule type="containsText" dxfId="1388"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1387" priority="1" stopIfTrue="1" operator="containsText" text="Atenção! Cuidado com sua saúde financeira">
      <formula>NOT(ISERROR(SEARCH("Atenção! Cuidado com sua saúde financeira",H4)))</formula>
    </cfRule>
    <cfRule type="containsText" dxfId="1386"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D29:D35" emptyCellReference="1"/>
    <ignoredError sqref="B9 B12:B14" unlockedFormula="1"/>
  </ignoredErrors>
  <drawing r:id="rId2"/>
  <tableParts count="8">
    <tablePart r:id="rId3"/>
    <tablePart r:id="rId4"/>
    <tablePart r:id="rId5"/>
    <tablePart r:id="rId6"/>
    <tablePart r:id="rId7"/>
    <tablePart r:id="rId8"/>
    <tablePart r:id="rId9"/>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010E7-8B28-43B6-A0DF-39798D40714D}">
  <sheetPr>
    <tabColor theme="5" tint="0.79998168889431442"/>
    <pageSetUpPr autoPageBreaks="0" fitToPage="1"/>
  </sheetPr>
  <dimension ref="A1:Q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7" s="13" customFormat="1" ht="19.95" customHeight="1" x14ac:dyDescent="0.45">
      <c r="A1" s="12">
        <f ca="1">NOW()</f>
        <v>44791.47886412037</v>
      </c>
    </row>
    <row r="2" spans="1:17" s="13" customFormat="1" ht="94.8" customHeight="1" x14ac:dyDescent="0.3">
      <c r="A2" s="92" t="s">
        <v>57</v>
      </c>
      <c r="B2" s="92"/>
      <c r="C2" s="92"/>
      <c r="D2" s="92"/>
      <c r="E2" s="92"/>
      <c r="F2" s="92"/>
      <c r="G2" s="92"/>
      <c r="H2" s="84"/>
      <c r="I2" s="85"/>
      <c r="J2" s="77"/>
      <c r="K2" s="77"/>
      <c r="L2" s="77"/>
    </row>
    <row r="3" spans="1:17" s="15" customFormat="1" ht="15" customHeight="1" x14ac:dyDescent="0.3"/>
    <row r="4" spans="1:17"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row>
    <row r="5" spans="1:17" s="15" customFormat="1" ht="15.6" customHeight="1" x14ac:dyDescent="0.3">
      <c r="A5" s="6" t="s">
        <v>12</v>
      </c>
      <c r="B5" s="7">
        <v>100</v>
      </c>
      <c r="H5" s="91"/>
      <c r="I5" s="91"/>
      <c r="K5" s="76" t="str">
        <f>IF(I8&gt;0,"Parabéns! Invista na Mais Previdência", IF(I8&lt;0,"Atenção! Cuidado com sua saúde financeira.",""))</f>
        <v/>
      </c>
      <c r="L5" s="76"/>
    </row>
    <row r="6" spans="1:17" s="15" customFormat="1" ht="15.6" customHeight="1" x14ac:dyDescent="0.3">
      <c r="A6" s="8" t="s">
        <v>0</v>
      </c>
      <c r="B6" s="9">
        <v>10</v>
      </c>
      <c r="D6" s="93" t="s">
        <v>49</v>
      </c>
      <c r="E6" s="93"/>
      <c r="F6" s="88">
        <f>B9-B12</f>
        <v>220</v>
      </c>
      <c r="H6" s="91"/>
      <c r="I6" s="91"/>
      <c r="J6" s="62"/>
      <c r="K6" s="76"/>
      <c r="L6" s="76"/>
    </row>
    <row r="7" spans="1:17" s="15" customFormat="1" ht="15.6" customHeight="1" x14ac:dyDescent="0.3">
      <c r="A7" s="8" t="s">
        <v>13</v>
      </c>
      <c r="B7" s="9">
        <v>10</v>
      </c>
      <c r="D7" s="93"/>
      <c r="E7" s="93"/>
      <c r="F7" s="88"/>
      <c r="H7" s="91"/>
      <c r="I7" s="91"/>
      <c r="J7" s="62"/>
      <c r="K7" s="76"/>
      <c r="L7" s="76"/>
    </row>
    <row r="8" spans="1:17" s="15" customFormat="1" ht="15.6" customHeight="1" x14ac:dyDescent="0.3">
      <c r="A8" s="8" t="s">
        <v>14</v>
      </c>
      <c r="B8" s="9">
        <v>100</v>
      </c>
      <c r="D8" s="94" t="s">
        <v>50</v>
      </c>
      <c r="E8" s="94"/>
      <c r="F8" s="95">
        <f>B9-B13</f>
        <v>220</v>
      </c>
      <c r="H8" s="91"/>
      <c r="I8" s="91"/>
      <c r="J8" s="62"/>
      <c r="K8" s="76"/>
      <c r="L8" s="76"/>
    </row>
    <row r="9" spans="1:17" s="15" customFormat="1" ht="18" customHeight="1" x14ac:dyDescent="0.3">
      <c r="A9" s="10" t="s">
        <v>1</v>
      </c>
      <c r="B9" s="11">
        <f>SUM(B5:B8)</f>
        <v>220</v>
      </c>
      <c r="D9" s="94"/>
      <c r="E9" s="94"/>
      <c r="F9" s="95"/>
      <c r="G9" s="60"/>
      <c r="H9" s="91"/>
      <c r="I9" s="91"/>
      <c r="J9" s="62"/>
      <c r="K9" s="76"/>
      <c r="L9" s="76"/>
    </row>
    <row r="10" spans="1:17" s="15" customFormat="1" ht="30" customHeight="1" x14ac:dyDescent="0.3">
      <c r="A10" s="5"/>
      <c r="B10" s="5"/>
      <c r="D10" s="61"/>
      <c r="E10" s="61"/>
      <c r="F10" s="61"/>
      <c r="G10" s="60"/>
      <c r="H10" s="91"/>
      <c r="I10" s="91"/>
      <c r="J10" s="17"/>
      <c r="K10" s="76"/>
      <c r="L10" s="76"/>
    </row>
    <row r="11" spans="1:17" s="15" customFormat="1" ht="30" customHeight="1" x14ac:dyDescent="0.3">
      <c r="A11" s="86" t="s">
        <v>48</v>
      </c>
      <c r="B11" s="87"/>
      <c r="C11" s="16"/>
      <c r="D11" s="61"/>
      <c r="E11" s="61"/>
      <c r="F11" s="61"/>
      <c r="G11" s="60"/>
      <c r="I11" s="79"/>
      <c r="J11" s="79"/>
      <c r="K11" s="79"/>
      <c r="L11" s="79"/>
    </row>
    <row r="12" spans="1:17" s="15" customFormat="1" ht="15.6" customHeight="1" x14ac:dyDescent="0.3">
      <c r="A12" s="73" t="s">
        <v>16</v>
      </c>
      <c r="B12" s="72">
        <f>SUM(Moradia102[Orçado],Lazer101[Orçado],Saúde99[Orçado],Alimentação98[Orçado],Pessoaleducacao100[Orçado],Transporte105[Orçado],Investimentos104[Orçado],Outros103[Orçado])</f>
        <v>0</v>
      </c>
      <c r="D12" s="100"/>
      <c r="E12" s="100"/>
      <c r="F12" s="100"/>
      <c r="G12" s="89"/>
      <c r="H12" s="79"/>
      <c r="I12" s="79"/>
      <c r="J12" s="79"/>
      <c r="K12" s="79"/>
      <c r="L12" s="79"/>
    </row>
    <row r="13" spans="1:17" s="15" customFormat="1" ht="15.6" customHeight="1" x14ac:dyDescent="0.3">
      <c r="A13" s="74" t="s">
        <v>17</v>
      </c>
      <c r="B13" s="69">
        <f>SUM(Moradia102[Real],Lazer101[Real],Saúde99[Real],Alimentação98[Real],Pessoaleducacao100[Real],Transporte105[Real],Investimentos104[Real],Outros103[Real])</f>
        <v>0</v>
      </c>
      <c r="D13" s="100"/>
      <c r="E13" s="100"/>
      <c r="F13" s="100"/>
      <c r="G13" s="89"/>
      <c r="H13" s="84" t="s">
        <v>68</v>
      </c>
      <c r="I13" s="84"/>
      <c r="J13" s="79"/>
      <c r="K13" s="79"/>
      <c r="L13" s="79"/>
    </row>
    <row r="14" spans="1:17" s="15" customFormat="1" ht="18" x14ac:dyDescent="0.3">
      <c r="A14" s="70" t="s">
        <v>10</v>
      </c>
      <c r="B14" s="63">
        <f>B12-B13</f>
        <v>0</v>
      </c>
      <c r="C14" s="71" t="str">
        <f>IF(B14&gt;0,"Você está dentro do orçamento", IF(B14&lt;0,"Você está fora do orçamento",""))</f>
        <v/>
      </c>
      <c r="H14" s="84"/>
      <c r="I14" s="84"/>
    </row>
    <row r="15" spans="1:17" ht="37.799999999999997" customHeight="1" x14ac:dyDescent="0.3">
      <c r="A15" s="18"/>
      <c r="B15" s="19"/>
      <c r="H15" s="84"/>
      <c r="I15" s="84"/>
    </row>
    <row r="16" spans="1:17" ht="30" customHeight="1" x14ac:dyDescent="0.3">
      <c r="A16" s="101" t="s">
        <v>2</v>
      </c>
      <c r="B16" s="101"/>
      <c r="C16" s="101"/>
      <c r="D16" s="101"/>
      <c r="E16" s="20"/>
      <c r="F16" s="75"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Moradia102[[#This Row],[Orçado]]-Moradia102[[#This Row],[Real]]</f>
        <v>0</v>
      </c>
      <c r="E18" s="27"/>
      <c r="F18" s="25" t="s">
        <v>26</v>
      </c>
      <c r="G18" s="26"/>
      <c r="H18" s="26"/>
      <c r="I18" s="69">
        <f>Lazer101[[#This Row],[Orçado]]-Lazer101[[#This Row],[Real]]</f>
        <v>0</v>
      </c>
      <c r="M18" s="78"/>
      <c r="N18" s="78"/>
      <c r="O18" s="78"/>
      <c r="P18" s="78"/>
      <c r="Q18" s="78"/>
    </row>
    <row r="19" spans="1:17" ht="15.6" x14ac:dyDescent="0.3">
      <c r="A19" s="25" t="s">
        <v>22</v>
      </c>
      <c r="B19" s="26"/>
      <c r="C19" s="26"/>
      <c r="D19" s="69">
        <f>Moradia102[[#This Row],[Orçado]]-Moradia102[[#This Row],[Real]]</f>
        <v>0</v>
      </c>
      <c r="E19" s="28"/>
      <c r="F19" s="25" t="s">
        <v>27</v>
      </c>
      <c r="G19" s="26"/>
      <c r="H19" s="26"/>
      <c r="I19" s="69">
        <f>Lazer101[[#This Row],[Orçado]]-Lazer101[[#This Row],[Real]]</f>
        <v>0</v>
      </c>
      <c r="M19" s="78"/>
      <c r="N19" s="78"/>
      <c r="O19" s="78"/>
      <c r="P19" s="78"/>
      <c r="Q19" s="78"/>
    </row>
    <row r="20" spans="1:17" ht="15.6" x14ac:dyDescent="0.3">
      <c r="A20" s="25" t="s">
        <v>23</v>
      </c>
      <c r="B20" s="26"/>
      <c r="C20" s="26"/>
      <c r="D20" s="69">
        <f>Moradia102[[#This Row],[Orçado]]-Moradia102[[#This Row],[Real]]</f>
        <v>0</v>
      </c>
      <c r="E20" s="28"/>
      <c r="F20" s="25" t="s">
        <v>34</v>
      </c>
      <c r="G20" s="26"/>
      <c r="H20" s="26"/>
      <c r="I20" s="69">
        <f>Lazer101[[#This Row],[Orçado]]-Lazer101[[#This Row],[Real]]</f>
        <v>0</v>
      </c>
      <c r="M20" s="78"/>
      <c r="N20" s="78"/>
      <c r="O20" s="78"/>
      <c r="P20" s="78"/>
      <c r="Q20" s="78"/>
    </row>
    <row r="21" spans="1:17" ht="15.6" x14ac:dyDescent="0.3">
      <c r="A21" s="25" t="s">
        <v>24</v>
      </c>
      <c r="B21" s="26"/>
      <c r="C21" s="26"/>
      <c r="D21" s="69">
        <f>Moradia102[[#This Row],[Orçado]]-Moradia102[[#This Row],[Real]]</f>
        <v>0</v>
      </c>
      <c r="E21" s="28"/>
      <c r="F21" s="25"/>
      <c r="G21" s="26"/>
      <c r="H21" s="26"/>
      <c r="I21" s="69">
        <f>Lazer101[[#This Row],[Orçado]]-Lazer101[[#This Row],[Real]]</f>
        <v>0</v>
      </c>
    </row>
    <row r="22" spans="1:17" ht="15.6" x14ac:dyDescent="0.3">
      <c r="A22" s="25" t="s">
        <v>25</v>
      </c>
      <c r="B22" s="26"/>
      <c r="C22" s="26"/>
      <c r="D22" s="69">
        <f>Moradia102[[#This Row],[Orçado]]-Moradia102[[#This Row],[Real]]</f>
        <v>0</v>
      </c>
      <c r="E22" s="28"/>
      <c r="F22" s="25"/>
      <c r="G22" s="26"/>
      <c r="H22" s="26"/>
      <c r="I22" s="69">
        <f>Lazer101[[#This Row],[Orçado]]-Lazer101[[#This Row],[Real]]</f>
        <v>0</v>
      </c>
    </row>
    <row r="23" spans="1:17" ht="15.6" x14ac:dyDescent="0.3">
      <c r="A23" s="25"/>
      <c r="B23" s="26"/>
      <c r="C23" s="26"/>
      <c r="D23" s="69">
        <f>Moradia102[[#This Row],[Orçado]]-Moradia102[[#This Row],[Real]]</f>
        <v>0</v>
      </c>
      <c r="E23" s="28"/>
      <c r="F23" s="29"/>
      <c r="G23" s="30"/>
      <c r="H23" s="30"/>
      <c r="I23" s="69">
        <f>Lazer101[[#This Row],[Orçado]]-Lazer101[[#This Row],[Real]]</f>
        <v>0</v>
      </c>
    </row>
    <row r="24" spans="1:17" ht="15.6" x14ac:dyDescent="0.3">
      <c r="A24" s="25" t="s">
        <v>4</v>
      </c>
      <c r="B24" s="26"/>
      <c r="C24" s="26"/>
      <c r="D24" s="69">
        <f>Moradia102[[#This Row],[Orçado]]-Moradia102[[#This Row],[Real]]</f>
        <v>0</v>
      </c>
      <c r="E24" s="28"/>
      <c r="F24" s="25" t="s">
        <v>4</v>
      </c>
      <c r="G24" s="26"/>
      <c r="H24" s="26"/>
      <c r="I24" s="69">
        <f>Lazer101[[#This Row],[Orçado]]-Lazer101[[#This Row],[Real]]</f>
        <v>0</v>
      </c>
    </row>
    <row r="25" spans="1:17" ht="18" x14ac:dyDescent="0.3">
      <c r="A25" s="66" t="s">
        <v>5</v>
      </c>
      <c r="B25" s="65">
        <f>SUM(Moradia102[Orçado])</f>
        <v>0</v>
      </c>
      <c r="C25" s="65">
        <f>SUM(Moradia102[Real])</f>
        <v>0</v>
      </c>
      <c r="D25" s="65">
        <f>SUM(Moradia102[Diferença])</f>
        <v>0</v>
      </c>
      <c r="E25" s="28"/>
      <c r="F25" s="66" t="s">
        <v>5</v>
      </c>
      <c r="G25" s="65">
        <f>SUM(Lazer101[Orçado])</f>
        <v>0</v>
      </c>
      <c r="H25" s="65">
        <f>SUM(Lazer101[Real])</f>
        <v>0</v>
      </c>
      <c r="I25" s="65">
        <f>SUM(Lazer101[Diferença])</f>
        <v>0</v>
      </c>
    </row>
    <row r="26" spans="1:17" ht="37.799999999999997" customHeight="1" x14ac:dyDescent="0.3">
      <c r="A26" s="18"/>
      <c r="B26" s="19"/>
    </row>
    <row r="27" spans="1:17" ht="30" customHeight="1" x14ac:dyDescent="0.3">
      <c r="A27" s="101" t="s">
        <v>7</v>
      </c>
      <c r="B27" s="101"/>
      <c r="C27" s="101"/>
      <c r="D27" s="101"/>
      <c r="E27" s="20"/>
      <c r="F27" s="75"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Saúde99[[#This Row],[Orçado]]-Saúde99[[#This Row],[Real]]</f>
        <v>0</v>
      </c>
      <c r="E29" s="27"/>
      <c r="F29" s="25" t="s">
        <v>8</v>
      </c>
      <c r="G29" s="26"/>
      <c r="H29" s="26"/>
      <c r="I29" s="69">
        <f>Alimentação98[[#This Row],[Orçado]]-Alimentação98[[#This Row],[Real]]</f>
        <v>0</v>
      </c>
    </row>
    <row r="30" spans="1:17" ht="15.6" x14ac:dyDescent="0.3">
      <c r="A30" s="25" t="s">
        <v>29</v>
      </c>
      <c r="B30" s="26"/>
      <c r="C30" s="26"/>
      <c r="D30" s="69">
        <f>Saúde99[[#This Row],[Orçado]]-Saúde99[[#This Row],[Real]]</f>
        <v>0</v>
      </c>
      <c r="E30" s="28"/>
      <c r="F30" s="25" t="s">
        <v>37</v>
      </c>
      <c r="G30" s="26"/>
      <c r="H30" s="26"/>
      <c r="I30" s="69">
        <f>Alimentação98[[#This Row],[Orçado]]-Alimentação98[[#This Row],[Real]]</f>
        <v>0</v>
      </c>
    </row>
    <row r="31" spans="1:17" ht="15.6" x14ac:dyDescent="0.3">
      <c r="A31" s="25" t="s">
        <v>35</v>
      </c>
      <c r="B31" s="26"/>
      <c r="C31" s="26"/>
      <c r="D31" s="69">
        <f>Saúde99[[#This Row],[Orçado]]-Saúde99[[#This Row],[Real]]</f>
        <v>0</v>
      </c>
      <c r="E31" s="28"/>
      <c r="F31" s="25"/>
      <c r="G31" s="26"/>
      <c r="H31" s="26"/>
      <c r="I31" s="69">
        <f>Alimentação98[[#This Row],[Orçado]]-Alimentação98[[#This Row],[Real]]</f>
        <v>0</v>
      </c>
    </row>
    <row r="32" spans="1:17" ht="15.6" x14ac:dyDescent="0.3">
      <c r="A32" s="25"/>
      <c r="B32" s="26"/>
      <c r="C32" s="26"/>
      <c r="D32" s="69">
        <f>Saúde99[[#This Row],[Orçado]]-Saúde99[[#This Row],[Real]]</f>
        <v>0</v>
      </c>
      <c r="E32" s="28"/>
      <c r="F32" s="25"/>
      <c r="G32" s="26"/>
      <c r="H32" s="26"/>
      <c r="I32" s="69">
        <f>Alimentação98[[#This Row],[Orçado]]-Alimentação98[[#This Row],[Real]]</f>
        <v>0</v>
      </c>
    </row>
    <row r="33" spans="1:11" ht="15.6" x14ac:dyDescent="0.3">
      <c r="A33" s="25"/>
      <c r="B33" s="26"/>
      <c r="C33" s="26"/>
      <c r="D33" s="69">
        <f>Saúde99[[#This Row],[Orçado]]-Saúde99[[#This Row],[Real]]</f>
        <v>0</v>
      </c>
      <c r="E33" s="28"/>
      <c r="F33" s="25"/>
      <c r="G33" s="26"/>
      <c r="H33" s="26"/>
      <c r="I33" s="69">
        <f>Alimentação98[[#This Row],[Orçado]]-Alimentação98[[#This Row],[Real]]</f>
        <v>0</v>
      </c>
    </row>
    <row r="34" spans="1:11" ht="15.6" x14ac:dyDescent="0.3">
      <c r="A34" s="25"/>
      <c r="B34" s="26"/>
      <c r="C34" s="26"/>
      <c r="D34" s="69">
        <f>Saúde99[[#This Row],[Orçado]]-Saúde99[[#This Row],[Real]]</f>
        <v>0</v>
      </c>
      <c r="E34" s="28"/>
      <c r="F34" s="29"/>
      <c r="G34" s="30"/>
      <c r="H34" s="30"/>
      <c r="I34" s="69">
        <f>Alimentação98[[#This Row],[Orçado]]-Alimentação98[[#This Row],[Real]]</f>
        <v>0</v>
      </c>
    </row>
    <row r="35" spans="1:11" ht="15.6" x14ac:dyDescent="0.3">
      <c r="A35" s="25" t="s">
        <v>4</v>
      </c>
      <c r="B35" s="26"/>
      <c r="C35" s="26"/>
      <c r="D35" s="69">
        <f>Saúde99[[#This Row],[Orçado]]-Saúde99[[#This Row],[Real]]</f>
        <v>0</v>
      </c>
      <c r="E35" s="28"/>
      <c r="F35" s="25" t="s">
        <v>4</v>
      </c>
      <c r="G35" s="26"/>
      <c r="H35" s="26"/>
      <c r="I35" s="69">
        <f>Alimentação98[[#This Row],[Orçado]]-Alimentação98[[#This Row],[Real]]</f>
        <v>0</v>
      </c>
    </row>
    <row r="36" spans="1:11" ht="18" x14ac:dyDescent="0.3">
      <c r="A36" s="66" t="s">
        <v>5</v>
      </c>
      <c r="B36" s="65">
        <f>SUM(Saúde99[Orçado])</f>
        <v>0</v>
      </c>
      <c r="C36" s="65">
        <f>SUM(Saúde99[Real])</f>
        <v>0</v>
      </c>
      <c r="D36" s="65">
        <f>SUM(Saúde99[Diferença])</f>
        <v>0</v>
      </c>
      <c r="E36" s="28"/>
      <c r="F36" s="66" t="s">
        <v>5</v>
      </c>
      <c r="G36" s="65">
        <f>SUM(Alimentação98[Orçado])</f>
        <v>0</v>
      </c>
      <c r="H36" s="65">
        <f>SUM(Alimentação98[Real])</f>
        <v>0</v>
      </c>
      <c r="I36" s="65">
        <f>SUM(Alimentação98[Diferença])</f>
        <v>0</v>
      </c>
    </row>
    <row r="37" spans="1:11" ht="30" customHeight="1" x14ac:dyDescent="0.3">
      <c r="A37" s="32"/>
      <c r="B37" s="33"/>
      <c r="C37" s="33"/>
      <c r="D37" s="34"/>
      <c r="E37" s="28"/>
    </row>
    <row r="38" spans="1:11" ht="30" customHeight="1" x14ac:dyDescent="0.3">
      <c r="A38" s="101" t="s">
        <v>40</v>
      </c>
      <c r="B38" s="101"/>
      <c r="C38" s="101"/>
      <c r="D38" s="101"/>
      <c r="E38" s="28"/>
      <c r="F38" s="75"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Pessoaleducacao100[[#This Row],[Orçado]]-Pessoaleducacao100[[#This Row],[Real]]</f>
        <v>0</v>
      </c>
      <c r="E40" s="37"/>
      <c r="F40" s="25" t="s">
        <v>30</v>
      </c>
      <c r="G40" s="26"/>
      <c r="H40" s="26"/>
      <c r="I40" s="69">
        <f>Transporte105[[#This Row],[Orçado]]-Transporte105[[#This Row],[Real]]</f>
        <v>0</v>
      </c>
    </row>
    <row r="41" spans="1:11" ht="15.6" x14ac:dyDescent="0.3">
      <c r="A41" s="25" t="s">
        <v>9</v>
      </c>
      <c r="B41" s="26"/>
      <c r="C41" s="26"/>
      <c r="D41" s="69">
        <f>Pessoaleducacao100[[#This Row],[Orçado]]-Pessoaleducacao100[[#This Row],[Real]]</f>
        <v>0</v>
      </c>
      <c r="E41" s="28"/>
      <c r="F41" s="25" t="s">
        <v>31</v>
      </c>
      <c r="G41" s="26"/>
      <c r="H41" s="26"/>
      <c r="I41" s="69">
        <f>Transporte105[[#This Row],[Orçado]]-Transporte105[[#This Row],[Real]]</f>
        <v>0</v>
      </c>
    </row>
    <row r="42" spans="1:11" ht="15.6" x14ac:dyDescent="0.3">
      <c r="A42" s="25" t="s">
        <v>41</v>
      </c>
      <c r="B42" s="26"/>
      <c r="C42" s="26"/>
      <c r="D42" s="69">
        <f>Pessoaleducacao100[[#This Row],[Orçado]]-Pessoaleducacao100[[#This Row],[Real]]</f>
        <v>0</v>
      </c>
      <c r="E42" s="28"/>
      <c r="F42" s="25" t="s">
        <v>32</v>
      </c>
      <c r="G42" s="26"/>
      <c r="H42" s="26"/>
      <c r="I42" s="69">
        <f>Transporte105[[#This Row],[Orçado]]-Transporte105[[#This Row],[Real]]</f>
        <v>0</v>
      </c>
    </row>
    <row r="43" spans="1:11" ht="15.6" x14ac:dyDescent="0.3">
      <c r="A43" s="25" t="s">
        <v>42</v>
      </c>
      <c r="B43" s="26"/>
      <c r="C43" s="26"/>
      <c r="D43" s="69">
        <f>Pessoaleducacao100[[#This Row],[Orçado]]-Pessoaleducacao100[[#This Row],[Real]]</f>
        <v>0</v>
      </c>
      <c r="E43" s="28"/>
      <c r="F43" s="25"/>
      <c r="G43" s="26"/>
      <c r="H43" s="26"/>
      <c r="I43" s="69">
        <f>Transporte105[[#This Row],[Orçado]]-Transporte105[[#This Row],[Real]]</f>
        <v>0</v>
      </c>
    </row>
    <row r="44" spans="1:11" ht="15.6" x14ac:dyDescent="0.3">
      <c r="A44" s="25" t="s">
        <v>43</v>
      </c>
      <c r="B44" s="26"/>
      <c r="C44" s="26"/>
      <c r="D44" s="69">
        <f>Pessoaleducacao100[[#This Row],[Orçado]]-Pessoaleducacao100[[#This Row],[Real]]</f>
        <v>0</v>
      </c>
      <c r="E44" s="28"/>
      <c r="F44" s="25"/>
      <c r="G44" s="26"/>
      <c r="H44" s="26"/>
      <c r="I44" s="69">
        <f>Transporte105[[#This Row],[Orçado]]-Transporte105[[#This Row],[Real]]</f>
        <v>0</v>
      </c>
    </row>
    <row r="45" spans="1:11" ht="15.6" x14ac:dyDescent="0.3">
      <c r="A45" s="25"/>
      <c r="B45" s="26"/>
      <c r="C45" s="26"/>
      <c r="D45" s="69">
        <f>Pessoaleducacao100[[#This Row],[Orçado]]-Pessoaleducacao100[[#This Row],[Real]]</f>
        <v>0</v>
      </c>
      <c r="E45" s="28"/>
      <c r="F45" s="29"/>
      <c r="G45" s="30"/>
      <c r="H45" s="30"/>
      <c r="I45" s="69">
        <f>Transporte105[[#This Row],[Orçado]]-Transporte105[[#This Row],[Real]]</f>
        <v>0</v>
      </c>
      <c r="J45" s="38"/>
      <c r="K45" s="38"/>
    </row>
    <row r="46" spans="1:11" ht="15.6" x14ac:dyDescent="0.3">
      <c r="A46" s="39" t="s">
        <v>4</v>
      </c>
      <c r="B46" s="40"/>
      <c r="C46" s="40"/>
      <c r="D46" s="69">
        <f>Pessoaleducacao100[[#This Row],[Orçado]]-Pessoaleducacao100[[#This Row],[Real]]</f>
        <v>0</v>
      </c>
      <c r="E46" s="28"/>
      <c r="F46" s="25" t="s">
        <v>4</v>
      </c>
      <c r="G46" s="26"/>
      <c r="H46" s="26"/>
      <c r="I46" s="69">
        <f>Transporte105[[#This Row],[Orçado]]-Transporte105[[#This Row],[Real]]</f>
        <v>0</v>
      </c>
      <c r="J46" s="38"/>
      <c r="K46" s="38"/>
    </row>
    <row r="47" spans="1:11" ht="18" x14ac:dyDescent="0.3">
      <c r="A47" s="66" t="s">
        <v>5</v>
      </c>
      <c r="B47" s="65">
        <f>SUM(Pessoaleducacao100[Orçado])</f>
        <v>0</v>
      </c>
      <c r="C47" s="65">
        <f>SUM(Pessoaleducacao100[Real])</f>
        <v>0</v>
      </c>
      <c r="D47" s="65">
        <f>SUM(Pessoaleducacao100[Diferença])</f>
        <v>0</v>
      </c>
      <c r="E47" s="28"/>
      <c r="F47" s="66" t="s">
        <v>5</v>
      </c>
      <c r="G47" s="65">
        <f>SUM(Transporte105[Orçado])</f>
        <v>0</v>
      </c>
      <c r="H47" s="65">
        <f>SUM(Transporte105[Real])</f>
        <v>0</v>
      </c>
      <c r="I47" s="65">
        <f>SUM(Transporte105[Diferença])</f>
        <v>0</v>
      </c>
      <c r="J47" s="38"/>
      <c r="K47" s="38"/>
    </row>
    <row r="48" spans="1:11" s="31" customFormat="1" ht="30" customHeight="1" x14ac:dyDescent="0.3">
      <c r="A48" s="99"/>
      <c r="B48" s="99"/>
      <c r="C48" s="99"/>
      <c r="D48" s="99"/>
      <c r="E48" s="37"/>
      <c r="F48" s="5"/>
      <c r="G48" s="5"/>
      <c r="H48" s="5"/>
      <c r="I48" s="5"/>
    </row>
    <row r="49" spans="1:9" ht="30" customHeight="1" x14ac:dyDescent="0.3">
      <c r="A49" s="75" t="s">
        <v>11</v>
      </c>
      <c r="B49" s="68"/>
      <c r="C49" s="68"/>
      <c r="D49" s="68"/>
      <c r="E49" s="28"/>
      <c r="F49" s="75"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Investimentos104[[#This Row],[Orçado]]-Investimentos104[[#This Row],[Real]]</f>
        <v>0</v>
      </c>
      <c r="E51" s="28"/>
      <c r="F51" s="35" t="s">
        <v>38</v>
      </c>
      <c r="G51" s="36"/>
      <c r="H51" s="36"/>
      <c r="I51" s="69">
        <f>Outros103[[#This Row],[Orçado]]-Outros103[[#This Row],[Real]]</f>
        <v>0</v>
      </c>
    </row>
    <row r="52" spans="1:9" ht="15.6" customHeight="1" x14ac:dyDescent="0.3">
      <c r="A52" s="25" t="s">
        <v>20</v>
      </c>
      <c r="B52" s="30"/>
      <c r="C52" s="30"/>
      <c r="D52" s="69">
        <f>Investimentos104[[#This Row],[Orçado]]-Investimentos104[[#This Row],[Real]]</f>
        <v>0</v>
      </c>
      <c r="E52" s="28"/>
      <c r="F52" s="25" t="s">
        <v>39</v>
      </c>
      <c r="G52" s="30"/>
      <c r="H52" s="30"/>
      <c r="I52" s="69">
        <f>Outros103[[#This Row],[Orçado]]-Outros103[[#This Row],[Real]]</f>
        <v>0</v>
      </c>
    </row>
    <row r="53" spans="1:9" ht="15.6" customHeight="1" x14ac:dyDescent="0.3">
      <c r="A53" s="25" t="s">
        <v>11</v>
      </c>
      <c r="B53" s="30"/>
      <c r="C53" s="30"/>
      <c r="D53" s="69">
        <f>Investimentos104[[#This Row],[Orçado]]-Investimentos104[[#This Row],[Real]]</f>
        <v>0</v>
      </c>
      <c r="E53" s="28"/>
      <c r="F53" s="25"/>
      <c r="G53" s="30"/>
      <c r="H53" s="30"/>
      <c r="I53" s="69">
        <f>Outros103[[#This Row],[Orçado]]-Outros103[[#This Row],[Real]]</f>
        <v>0</v>
      </c>
    </row>
    <row r="54" spans="1:9" ht="15.6" customHeight="1" x14ac:dyDescent="0.3">
      <c r="A54" s="25"/>
      <c r="B54" s="26"/>
      <c r="C54" s="26"/>
      <c r="D54" s="69">
        <f>Investimentos104[[#This Row],[Orçado]]-Investimentos104[[#This Row],[Real]]</f>
        <v>0</v>
      </c>
      <c r="E54" s="28"/>
      <c r="F54" s="25"/>
      <c r="G54" s="26"/>
      <c r="H54" s="26"/>
      <c r="I54" s="69">
        <f>Outros103[[#This Row],[Orçado]]-Outros103[[#This Row],[Real]]</f>
        <v>0</v>
      </c>
    </row>
    <row r="55" spans="1:9" s="31" customFormat="1" ht="15.6" customHeight="1" x14ac:dyDescent="0.3">
      <c r="A55" s="29"/>
      <c r="B55" s="30"/>
      <c r="C55" s="30"/>
      <c r="D55" s="69">
        <f>Investimentos104[[#This Row],[Orçado]]-Investimentos104[[#This Row],[Real]]</f>
        <v>0</v>
      </c>
      <c r="E55" s="37"/>
      <c r="F55" s="29"/>
      <c r="G55" s="30"/>
      <c r="H55" s="30"/>
      <c r="I55" s="69">
        <f>Outros103[[#This Row],[Orçado]]-Outros103[[#This Row],[Real]]</f>
        <v>0</v>
      </c>
    </row>
    <row r="56" spans="1:9" s="31" customFormat="1" ht="15.6" x14ac:dyDescent="0.3">
      <c r="A56" s="29"/>
      <c r="B56" s="30"/>
      <c r="C56" s="30"/>
      <c r="D56" s="69">
        <f>Investimentos104[[#This Row],[Orçado]]-Investimentos104[[#This Row],[Real]]</f>
        <v>0</v>
      </c>
      <c r="E56" s="37"/>
      <c r="F56" s="29"/>
      <c r="G56" s="30"/>
      <c r="H56" s="30"/>
      <c r="I56" s="69">
        <f>Outros103[[#This Row],[Orçado]]-Outros103[[#This Row],[Real]]</f>
        <v>0</v>
      </c>
    </row>
    <row r="57" spans="1:9" s="31" customFormat="1" ht="15.6" x14ac:dyDescent="0.3">
      <c r="A57" s="25" t="s">
        <v>4</v>
      </c>
      <c r="B57" s="26"/>
      <c r="C57" s="26"/>
      <c r="D57" s="69">
        <f>Investimentos104[[#This Row],[Orçado]]-Investimentos104[[#This Row],[Real]]</f>
        <v>0</v>
      </c>
      <c r="E57" s="37"/>
      <c r="F57" s="25" t="s">
        <v>4</v>
      </c>
      <c r="G57" s="26"/>
      <c r="H57" s="26"/>
      <c r="I57" s="69">
        <f>Outros103[[#This Row],[Orçado]]-Outros103[[#This Row],[Real]]</f>
        <v>0</v>
      </c>
    </row>
    <row r="58" spans="1:9" ht="18" x14ac:dyDescent="0.3">
      <c r="A58" s="64" t="s">
        <v>5</v>
      </c>
      <c r="B58" s="65">
        <f>SUM(Investimentos104[Orçado])</f>
        <v>0</v>
      </c>
      <c r="C58" s="65">
        <f>SUM(Investimentos104[Real])</f>
        <v>0</v>
      </c>
      <c r="D58" s="65">
        <f>SUM(Investimentos104[Diferença])</f>
        <v>0</v>
      </c>
      <c r="E58" s="28"/>
      <c r="F58" s="64" t="s">
        <v>5</v>
      </c>
      <c r="G58" s="65">
        <f>SUM(Outros103[Orçado])</f>
        <v>0</v>
      </c>
      <c r="H58" s="65">
        <f>SUM(Outros103[Real])</f>
        <v>0</v>
      </c>
      <c r="I58" s="65">
        <f>SUM(Outros103[Diferença])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SgP6DcRKUdyT4/6FKyTQYtkqZPDwz29s1GMm84Gc39n/PX22/KNlZWR1DKaJmO55jel0TL4U/gByFeepnCJQOQ==" saltValue="rQ3ZR91ZOQLceAKRNvwGlQ==" spinCount="100000" sheet="1" objects="1" scenarios="1" selectLockedCells="1"/>
  <mergeCells count="17">
    <mergeCell ref="A48:D48"/>
    <mergeCell ref="A61:D61"/>
    <mergeCell ref="F6:F7"/>
    <mergeCell ref="A38:D38"/>
    <mergeCell ref="H2:I2"/>
    <mergeCell ref="A16:D16"/>
    <mergeCell ref="A2:G2"/>
    <mergeCell ref="A4:B4"/>
    <mergeCell ref="A27:D27"/>
    <mergeCell ref="A11:B11"/>
    <mergeCell ref="D12:F13"/>
    <mergeCell ref="G12:G13"/>
    <mergeCell ref="D6:E7"/>
    <mergeCell ref="D8:E9"/>
    <mergeCell ref="F8:F9"/>
    <mergeCell ref="H4:I10"/>
    <mergeCell ref="H13:I15"/>
  </mergeCells>
  <conditionalFormatting sqref="J6:J9">
    <cfRule type="containsText" dxfId="1275" priority="5" operator="containsText" text="Atenção! Cuidado com sua saúde financeira">
      <formula>NOT(ISERROR(SEARCH("Atenção! Cuidado com sua saúde financeira",J6)))</formula>
    </cfRule>
  </conditionalFormatting>
  <conditionalFormatting sqref="C14">
    <cfRule type="containsText" dxfId="1274" priority="3" operator="containsText" text="Você está dentro do orçamento">
      <formula>NOT(ISERROR(SEARCH("Você está dentro do orçamento",C14)))</formula>
    </cfRule>
    <cfRule type="containsText" dxfId="1273" priority="4" operator="containsText" text="Você está fora do orçamento">
      <formula>NOT(ISERROR(SEARCH("Você está fora do orçamento",C14)))</formula>
    </cfRule>
  </conditionalFormatting>
  <conditionalFormatting sqref="H4 J4:L10">
    <cfRule type="containsText" dxfId="1272"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1271" priority="1" stopIfTrue="1" operator="containsText" text="Atenção! Cuidado com sua saúde financeira">
      <formula>NOT(ISERROR(SEARCH("Atenção! Cuidado com sua saúde financeira",H4)))</formula>
    </cfRule>
    <cfRule type="containsText" dxfId="1270"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B9" unlockedFormula="1"/>
  </ignoredErrors>
  <drawing r:id="rId2"/>
  <tableParts count="8">
    <tablePart r:id="rId3"/>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5812B-8652-48EB-A962-2F765A86FA92}">
  <sheetPr>
    <tabColor theme="5"/>
    <pageSetUpPr autoPageBreaks="0" fitToPage="1"/>
  </sheetPr>
  <dimension ref="A1:Q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7" s="13" customFormat="1" ht="19.95" customHeight="1" x14ac:dyDescent="0.45">
      <c r="A1" s="12">
        <f ca="1">NOW()</f>
        <v>44791.47886412037</v>
      </c>
    </row>
    <row r="2" spans="1:17" s="13" customFormat="1" ht="94.8" customHeight="1" x14ac:dyDescent="0.3">
      <c r="A2" s="92" t="s">
        <v>58</v>
      </c>
      <c r="B2" s="92"/>
      <c r="C2" s="92"/>
      <c r="D2" s="92"/>
      <c r="E2" s="92"/>
      <c r="F2" s="92"/>
      <c r="G2" s="92"/>
      <c r="H2" s="84"/>
      <c r="I2" s="85"/>
      <c r="J2" s="77"/>
      <c r="K2" s="77"/>
      <c r="L2" s="77"/>
    </row>
    <row r="3" spans="1:17" s="15" customFormat="1" ht="15" customHeight="1" x14ac:dyDescent="0.3"/>
    <row r="4" spans="1:17"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row>
    <row r="5" spans="1:17" s="15" customFormat="1" ht="15.6" customHeight="1" x14ac:dyDescent="0.3">
      <c r="A5" s="6" t="s">
        <v>12</v>
      </c>
      <c r="B5" s="7">
        <v>100</v>
      </c>
      <c r="H5" s="91"/>
      <c r="I5" s="91"/>
      <c r="K5" s="76" t="str">
        <f>IF(I8&gt;0,"Parabéns! Invista na Mais Previdência", IF(I8&lt;0,"Atenção! Cuidado com sua saúde financeira.",""))</f>
        <v/>
      </c>
      <c r="L5" s="76"/>
    </row>
    <row r="6" spans="1:17" s="15" customFormat="1" ht="15.6" customHeight="1" x14ac:dyDescent="0.3">
      <c r="A6" s="8" t="s">
        <v>0</v>
      </c>
      <c r="B6" s="9">
        <v>10</v>
      </c>
      <c r="D6" s="93" t="s">
        <v>49</v>
      </c>
      <c r="E6" s="93"/>
      <c r="F6" s="88">
        <f>B9-B12</f>
        <v>220</v>
      </c>
      <c r="H6" s="91"/>
      <c r="I6" s="91"/>
      <c r="J6" s="62"/>
      <c r="K6" s="76"/>
      <c r="L6" s="76"/>
    </row>
    <row r="7" spans="1:17" s="15" customFormat="1" ht="15.6" customHeight="1" x14ac:dyDescent="0.3">
      <c r="A7" s="8" t="s">
        <v>13</v>
      </c>
      <c r="B7" s="9">
        <v>10</v>
      </c>
      <c r="D7" s="93"/>
      <c r="E7" s="93"/>
      <c r="F7" s="88"/>
      <c r="H7" s="91"/>
      <c r="I7" s="91"/>
      <c r="J7" s="62"/>
      <c r="K7" s="76"/>
      <c r="L7" s="76"/>
    </row>
    <row r="8" spans="1:17" s="15" customFormat="1" ht="15.6" customHeight="1" x14ac:dyDescent="0.3">
      <c r="A8" s="8" t="s">
        <v>14</v>
      </c>
      <c r="B8" s="9">
        <v>100</v>
      </c>
      <c r="D8" s="94" t="s">
        <v>50</v>
      </c>
      <c r="E8" s="94"/>
      <c r="F8" s="95">
        <f>B9-B13</f>
        <v>220</v>
      </c>
      <c r="H8" s="91"/>
      <c r="I8" s="91"/>
      <c r="J8" s="62"/>
      <c r="K8" s="76"/>
      <c r="L8" s="76"/>
    </row>
    <row r="9" spans="1:17" s="15" customFormat="1" ht="18" customHeight="1" x14ac:dyDescent="0.3">
      <c r="A9" s="10" t="s">
        <v>1</v>
      </c>
      <c r="B9" s="11">
        <f>SUM(B5:B8)</f>
        <v>220</v>
      </c>
      <c r="D9" s="94"/>
      <c r="E9" s="94"/>
      <c r="F9" s="95"/>
      <c r="G9" s="60"/>
      <c r="H9" s="91"/>
      <c r="I9" s="91"/>
      <c r="J9" s="62"/>
      <c r="K9" s="76"/>
      <c r="L9" s="76"/>
    </row>
    <row r="10" spans="1:17" s="15" customFormat="1" ht="30" customHeight="1" x14ac:dyDescent="0.3">
      <c r="A10" s="5"/>
      <c r="B10" s="5"/>
      <c r="D10" s="61"/>
      <c r="E10" s="61"/>
      <c r="F10" s="61"/>
      <c r="G10" s="60"/>
      <c r="H10" s="91"/>
      <c r="I10" s="91"/>
      <c r="J10" s="17"/>
      <c r="K10" s="76"/>
      <c r="L10" s="76"/>
    </row>
    <row r="11" spans="1:17" s="15" customFormat="1" ht="30" customHeight="1" x14ac:dyDescent="0.3">
      <c r="A11" s="86" t="s">
        <v>48</v>
      </c>
      <c r="B11" s="87"/>
      <c r="C11" s="16"/>
      <c r="D11" s="61"/>
      <c r="E11" s="61"/>
      <c r="F11" s="61"/>
      <c r="G11" s="60"/>
      <c r="I11" s="79"/>
      <c r="J11" s="79"/>
      <c r="K11" s="79"/>
      <c r="L11" s="79"/>
    </row>
    <row r="12" spans="1:17" s="15" customFormat="1" ht="15.6" customHeight="1" x14ac:dyDescent="0.3">
      <c r="A12" s="73" t="s">
        <v>16</v>
      </c>
      <c r="B12" s="72">
        <f>SUM(Moradia102110[Orçado],Lazer101109[Orçado],Saúde99107[Orçado],Alimentação98106[Orçado],Pessoaleducacao100108[Orçado],Transporte105113[Orçado],Investimentos104112[Orçado],Outros103111[Orçado])</f>
        <v>0</v>
      </c>
      <c r="D12" s="100"/>
      <c r="E12" s="100"/>
      <c r="F12" s="100"/>
      <c r="G12" s="89"/>
      <c r="H12" s="79"/>
      <c r="I12" s="79"/>
      <c r="J12" s="79"/>
      <c r="K12" s="79"/>
      <c r="L12" s="79"/>
    </row>
    <row r="13" spans="1:17" s="15" customFormat="1" ht="15.6" customHeight="1" x14ac:dyDescent="0.3">
      <c r="A13" s="74" t="s">
        <v>17</v>
      </c>
      <c r="B13" s="69">
        <f>SUM(Moradia102110[Real],Lazer101109[Real],Saúde99107[Real],Alimentação98106[Real],Pessoaleducacao100108[Real],Transporte105113[Real],Investimentos104112[Real],Outros103111[Real])</f>
        <v>0</v>
      </c>
      <c r="D13" s="100"/>
      <c r="E13" s="100"/>
      <c r="F13" s="100"/>
      <c r="G13" s="89"/>
      <c r="H13" s="84" t="s">
        <v>68</v>
      </c>
      <c r="I13" s="84"/>
      <c r="J13" s="79"/>
      <c r="K13" s="79"/>
      <c r="L13" s="79"/>
    </row>
    <row r="14" spans="1:17" s="15" customFormat="1" ht="18" x14ac:dyDescent="0.3">
      <c r="A14" s="70" t="s">
        <v>10</v>
      </c>
      <c r="B14" s="63">
        <f>B12-B13</f>
        <v>0</v>
      </c>
      <c r="C14" s="71" t="str">
        <f>IF(B14&gt;0,"Você está dentro do orçamento", IF(B14&lt;0,"Você está fora do orçamento",""))</f>
        <v/>
      </c>
      <c r="H14" s="84"/>
      <c r="I14" s="84"/>
    </row>
    <row r="15" spans="1:17" ht="37.799999999999997" customHeight="1" x14ac:dyDescent="0.3">
      <c r="A15" s="18"/>
      <c r="B15" s="19"/>
      <c r="H15" s="84"/>
      <c r="I15" s="84"/>
    </row>
    <row r="16" spans="1:17" ht="30" customHeight="1" x14ac:dyDescent="0.3">
      <c r="A16" s="101" t="s">
        <v>2</v>
      </c>
      <c r="B16" s="101"/>
      <c r="C16" s="101"/>
      <c r="D16" s="101"/>
      <c r="E16" s="20"/>
      <c r="F16" s="75"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Moradia102110[[#This Row],[Orçado]]-Moradia102110[[#This Row],[Real]]</f>
        <v>0</v>
      </c>
      <c r="E18" s="27"/>
      <c r="F18" s="25" t="s">
        <v>26</v>
      </c>
      <c r="G18" s="26"/>
      <c r="H18" s="26"/>
      <c r="I18" s="69">
        <f>Lazer101109[[#This Row],[Orçado]]-Lazer101109[[#This Row],[Real]]</f>
        <v>0</v>
      </c>
      <c r="M18" s="78"/>
      <c r="N18" s="78"/>
      <c r="O18" s="78"/>
      <c r="P18" s="78"/>
      <c r="Q18" s="78"/>
    </row>
    <row r="19" spans="1:17" ht="15.6" x14ac:dyDescent="0.3">
      <c r="A19" s="25" t="s">
        <v>22</v>
      </c>
      <c r="B19" s="26"/>
      <c r="C19" s="26"/>
      <c r="D19" s="69">
        <f>Moradia102110[[#This Row],[Orçado]]-Moradia102110[[#This Row],[Real]]</f>
        <v>0</v>
      </c>
      <c r="E19" s="28"/>
      <c r="F19" s="25" t="s">
        <v>27</v>
      </c>
      <c r="G19" s="26"/>
      <c r="H19" s="26"/>
      <c r="I19" s="69">
        <f>Lazer101109[[#This Row],[Orçado]]-Lazer101109[[#This Row],[Real]]</f>
        <v>0</v>
      </c>
      <c r="M19" s="78"/>
      <c r="N19" s="78"/>
      <c r="O19" s="78"/>
      <c r="P19" s="78"/>
      <c r="Q19" s="78"/>
    </row>
    <row r="20" spans="1:17" ht="15.6" x14ac:dyDescent="0.3">
      <c r="A20" s="25" t="s">
        <v>23</v>
      </c>
      <c r="B20" s="26"/>
      <c r="C20" s="26"/>
      <c r="D20" s="69">
        <f>Moradia102110[[#This Row],[Orçado]]-Moradia102110[[#This Row],[Real]]</f>
        <v>0</v>
      </c>
      <c r="E20" s="28"/>
      <c r="F20" s="25" t="s">
        <v>34</v>
      </c>
      <c r="G20" s="26"/>
      <c r="H20" s="26"/>
      <c r="I20" s="69">
        <f>Lazer101109[[#This Row],[Orçado]]-Lazer101109[[#This Row],[Real]]</f>
        <v>0</v>
      </c>
      <c r="M20" s="78"/>
      <c r="N20" s="78"/>
      <c r="O20" s="78"/>
      <c r="P20" s="78"/>
      <c r="Q20" s="78"/>
    </row>
    <row r="21" spans="1:17" ht="15.6" x14ac:dyDescent="0.3">
      <c r="A21" s="25" t="s">
        <v>24</v>
      </c>
      <c r="B21" s="26"/>
      <c r="C21" s="26"/>
      <c r="D21" s="69">
        <f>Moradia102110[[#This Row],[Orçado]]-Moradia102110[[#This Row],[Real]]</f>
        <v>0</v>
      </c>
      <c r="E21" s="28"/>
      <c r="F21" s="25"/>
      <c r="G21" s="26"/>
      <c r="H21" s="26"/>
      <c r="I21" s="69">
        <f>Lazer101109[[#This Row],[Orçado]]-Lazer101109[[#This Row],[Real]]</f>
        <v>0</v>
      </c>
    </row>
    <row r="22" spans="1:17" ht="15.6" x14ac:dyDescent="0.3">
      <c r="A22" s="25" t="s">
        <v>25</v>
      </c>
      <c r="B22" s="26"/>
      <c r="C22" s="26"/>
      <c r="D22" s="69">
        <f>Moradia102110[[#This Row],[Orçado]]-Moradia102110[[#This Row],[Real]]</f>
        <v>0</v>
      </c>
      <c r="E22" s="28"/>
      <c r="F22" s="25"/>
      <c r="G22" s="26"/>
      <c r="H22" s="26"/>
      <c r="I22" s="69">
        <f>Lazer101109[[#This Row],[Orçado]]-Lazer101109[[#This Row],[Real]]</f>
        <v>0</v>
      </c>
    </row>
    <row r="23" spans="1:17" ht="15.6" x14ac:dyDescent="0.3">
      <c r="A23" s="25"/>
      <c r="B23" s="26"/>
      <c r="C23" s="26"/>
      <c r="D23" s="69">
        <f>Moradia102110[[#This Row],[Orçado]]-Moradia102110[[#This Row],[Real]]</f>
        <v>0</v>
      </c>
      <c r="E23" s="28"/>
      <c r="F23" s="29"/>
      <c r="G23" s="30"/>
      <c r="H23" s="30"/>
      <c r="I23" s="69">
        <f>Lazer101109[[#This Row],[Orçado]]-Lazer101109[[#This Row],[Real]]</f>
        <v>0</v>
      </c>
    </row>
    <row r="24" spans="1:17" ht="15.6" x14ac:dyDescent="0.3">
      <c r="A24" s="25" t="s">
        <v>4</v>
      </c>
      <c r="B24" s="26"/>
      <c r="C24" s="26"/>
      <c r="D24" s="69">
        <f>Moradia102110[[#This Row],[Orçado]]-Moradia102110[[#This Row],[Real]]</f>
        <v>0</v>
      </c>
      <c r="E24" s="28"/>
      <c r="F24" s="25" t="s">
        <v>4</v>
      </c>
      <c r="G24" s="26"/>
      <c r="H24" s="26"/>
      <c r="I24" s="69">
        <f>Lazer101109[[#This Row],[Orçado]]-Lazer101109[[#This Row],[Real]]</f>
        <v>0</v>
      </c>
    </row>
    <row r="25" spans="1:17" ht="18" x14ac:dyDescent="0.3">
      <c r="A25" s="66" t="s">
        <v>5</v>
      </c>
      <c r="B25" s="65">
        <f>SUM(Moradia102110[Orçado])</f>
        <v>0</v>
      </c>
      <c r="C25" s="65">
        <f>SUM(Moradia102110[Real])</f>
        <v>0</v>
      </c>
      <c r="D25" s="65">
        <f>SUM(Moradia102110[Diferença])</f>
        <v>0</v>
      </c>
      <c r="E25" s="28"/>
      <c r="F25" s="66" t="s">
        <v>5</v>
      </c>
      <c r="G25" s="65">
        <f>SUM(Lazer101109[Orçado])</f>
        <v>0</v>
      </c>
      <c r="H25" s="65">
        <f>SUM(Lazer101109[Real])</f>
        <v>0</v>
      </c>
      <c r="I25" s="65">
        <f>SUM(Lazer101109[Diferença])</f>
        <v>0</v>
      </c>
    </row>
    <row r="26" spans="1:17" ht="37.799999999999997" customHeight="1" x14ac:dyDescent="0.3">
      <c r="A26" s="18"/>
      <c r="B26" s="19"/>
    </row>
    <row r="27" spans="1:17" ht="30" customHeight="1" x14ac:dyDescent="0.3">
      <c r="A27" s="101" t="s">
        <v>7</v>
      </c>
      <c r="B27" s="101"/>
      <c r="C27" s="101"/>
      <c r="D27" s="101"/>
      <c r="E27" s="20"/>
      <c r="F27" s="75"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Saúde99107[[#This Row],[Orçado]]-Saúde99107[[#This Row],[Real]]</f>
        <v>0</v>
      </c>
      <c r="E29" s="27"/>
      <c r="F29" s="25" t="s">
        <v>8</v>
      </c>
      <c r="G29" s="26"/>
      <c r="H29" s="26"/>
      <c r="I29" s="69">
        <f>Alimentação98106[[#This Row],[Orçado]]-Alimentação98106[[#This Row],[Real]]</f>
        <v>0</v>
      </c>
    </row>
    <row r="30" spans="1:17" ht="15.6" x14ac:dyDescent="0.3">
      <c r="A30" s="25" t="s">
        <v>29</v>
      </c>
      <c r="B30" s="26"/>
      <c r="C30" s="26"/>
      <c r="D30" s="69">
        <f>Saúde99107[[#This Row],[Orçado]]-Saúde99107[[#This Row],[Real]]</f>
        <v>0</v>
      </c>
      <c r="E30" s="28"/>
      <c r="F30" s="25" t="s">
        <v>37</v>
      </c>
      <c r="G30" s="26"/>
      <c r="H30" s="26"/>
      <c r="I30" s="69">
        <f>Alimentação98106[[#This Row],[Orçado]]-Alimentação98106[[#This Row],[Real]]</f>
        <v>0</v>
      </c>
    </row>
    <row r="31" spans="1:17" ht="15.6" x14ac:dyDescent="0.3">
      <c r="A31" s="25" t="s">
        <v>35</v>
      </c>
      <c r="B31" s="26"/>
      <c r="C31" s="26"/>
      <c r="D31" s="69">
        <f>Saúde99107[[#This Row],[Orçado]]-Saúde99107[[#This Row],[Real]]</f>
        <v>0</v>
      </c>
      <c r="E31" s="28"/>
      <c r="F31" s="25"/>
      <c r="G31" s="26"/>
      <c r="H31" s="26"/>
      <c r="I31" s="69">
        <f>Alimentação98106[[#This Row],[Orçado]]-Alimentação98106[[#This Row],[Real]]</f>
        <v>0</v>
      </c>
    </row>
    <row r="32" spans="1:17" ht="15.6" x14ac:dyDescent="0.3">
      <c r="A32" s="25"/>
      <c r="B32" s="26"/>
      <c r="C32" s="26"/>
      <c r="D32" s="69">
        <f>Saúde99107[[#This Row],[Orçado]]-Saúde99107[[#This Row],[Real]]</f>
        <v>0</v>
      </c>
      <c r="E32" s="28"/>
      <c r="F32" s="25"/>
      <c r="G32" s="26"/>
      <c r="H32" s="26"/>
      <c r="I32" s="69">
        <f>Alimentação98106[[#This Row],[Orçado]]-Alimentação98106[[#This Row],[Real]]</f>
        <v>0</v>
      </c>
    </row>
    <row r="33" spans="1:11" ht="15.6" x14ac:dyDescent="0.3">
      <c r="A33" s="25"/>
      <c r="B33" s="26"/>
      <c r="C33" s="26"/>
      <c r="D33" s="69">
        <f>Saúde99107[[#This Row],[Orçado]]-Saúde99107[[#This Row],[Real]]</f>
        <v>0</v>
      </c>
      <c r="E33" s="28"/>
      <c r="F33" s="25"/>
      <c r="G33" s="26"/>
      <c r="H33" s="26"/>
      <c r="I33" s="69">
        <f>Alimentação98106[[#This Row],[Orçado]]-Alimentação98106[[#This Row],[Real]]</f>
        <v>0</v>
      </c>
    </row>
    <row r="34" spans="1:11" ht="15.6" x14ac:dyDescent="0.3">
      <c r="A34" s="25"/>
      <c r="B34" s="26"/>
      <c r="C34" s="26"/>
      <c r="D34" s="69">
        <f>Saúde99107[[#This Row],[Orçado]]-Saúde99107[[#This Row],[Real]]</f>
        <v>0</v>
      </c>
      <c r="E34" s="28"/>
      <c r="F34" s="29"/>
      <c r="G34" s="30"/>
      <c r="H34" s="30"/>
      <c r="I34" s="69">
        <f>Alimentação98106[[#This Row],[Orçado]]-Alimentação98106[[#This Row],[Real]]</f>
        <v>0</v>
      </c>
    </row>
    <row r="35" spans="1:11" ht="15.6" x14ac:dyDescent="0.3">
      <c r="A35" s="25" t="s">
        <v>4</v>
      </c>
      <c r="B35" s="26"/>
      <c r="C35" s="26"/>
      <c r="D35" s="69">
        <f>Saúde99107[[#This Row],[Orçado]]-Saúde99107[[#This Row],[Real]]</f>
        <v>0</v>
      </c>
      <c r="E35" s="28"/>
      <c r="F35" s="25" t="s">
        <v>4</v>
      </c>
      <c r="G35" s="26"/>
      <c r="H35" s="26"/>
      <c r="I35" s="69">
        <f>Alimentação98106[[#This Row],[Orçado]]-Alimentação98106[[#This Row],[Real]]</f>
        <v>0</v>
      </c>
    </row>
    <row r="36" spans="1:11" ht="18" x14ac:dyDescent="0.3">
      <c r="A36" s="66" t="s">
        <v>5</v>
      </c>
      <c r="B36" s="65">
        <f>SUM(Saúde99107[Orçado])</f>
        <v>0</v>
      </c>
      <c r="C36" s="65">
        <f>SUM(Saúde99107[Real])</f>
        <v>0</v>
      </c>
      <c r="D36" s="65">
        <f>SUM(Saúde99107[Diferença])</f>
        <v>0</v>
      </c>
      <c r="E36" s="28"/>
      <c r="F36" s="66" t="s">
        <v>5</v>
      </c>
      <c r="G36" s="65">
        <f>SUM(Alimentação98106[Orçado])</f>
        <v>0</v>
      </c>
      <c r="H36" s="65">
        <f>SUM(Alimentação98106[Real])</f>
        <v>0</v>
      </c>
      <c r="I36" s="65">
        <f>SUM(Alimentação98106[Diferença])</f>
        <v>0</v>
      </c>
    </row>
    <row r="37" spans="1:11" ht="30" customHeight="1" x14ac:dyDescent="0.3">
      <c r="A37" s="32"/>
      <c r="B37" s="33"/>
      <c r="C37" s="33"/>
      <c r="D37" s="34"/>
      <c r="E37" s="28"/>
    </row>
    <row r="38" spans="1:11" ht="30" customHeight="1" x14ac:dyDescent="0.3">
      <c r="A38" s="101" t="s">
        <v>40</v>
      </c>
      <c r="B38" s="101"/>
      <c r="C38" s="101"/>
      <c r="D38" s="101"/>
      <c r="E38" s="28"/>
      <c r="F38" s="75"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Pessoaleducacao100108[[#This Row],[Orçado]]-Pessoaleducacao100108[[#This Row],[Real]]</f>
        <v>0</v>
      </c>
      <c r="E40" s="37"/>
      <c r="F40" s="25" t="s">
        <v>30</v>
      </c>
      <c r="G40" s="26"/>
      <c r="H40" s="26"/>
      <c r="I40" s="69">
        <f>Transporte105113[[#This Row],[Orçado]]-Transporte105113[[#This Row],[Real]]</f>
        <v>0</v>
      </c>
    </row>
    <row r="41" spans="1:11" ht="15.6" x14ac:dyDescent="0.3">
      <c r="A41" s="25" t="s">
        <v>9</v>
      </c>
      <c r="B41" s="26"/>
      <c r="C41" s="26"/>
      <c r="D41" s="69">
        <f>Pessoaleducacao100108[[#This Row],[Orçado]]-Pessoaleducacao100108[[#This Row],[Real]]</f>
        <v>0</v>
      </c>
      <c r="E41" s="28"/>
      <c r="F41" s="25" t="s">
        <v>31</v>
      </c>
      <c r="G41" s="26"/>
      <c r="H41" s="26"/>
      <c r="I41" s="69">
        <f>Transporte105113[[#This Row],[Orçado]]-Transporte105113[[#This Row],[Real]]</f>
        <v>0</v>
      </c>
    </row>
    <row r="42" spans="1:11" ht="15.6" x14ac:dyDescent="0.3">
      <c r="A42" s="25" t="s">
        <v>41</v>
      </c>
      <c r="B42" s="26"/>
      <c r="C42" s="26"/>
      <c r="D42" s="69">
        <f>Pessoaleducacao100108[[#This Row],[Orçado]]-Pessoaleducacao100108[[#This Row],[Real]]</f>
        <v>0</v>
      </c>
      <c r="E42" s="28"/>
      <c r="F42" s="25" t="s">
        <v>32</v>
      </c>
      <c r="G42" s="26"/>
      <c r="H42" s="26"/>
      <c r="I42" s="69">
        <f>Transporte105113[[#This Row],[Orçado]]-Transporte105113[[#This Row],[Real]]</f>
        <v>0</v>
      </c>
    </row>
    <row r="43" spans="1:11" ht="15.6" x14ac:dyDescent="0.3">
      <c r="A43" s="25" t="s">
        <v>42</v>
      </c>
      <c r="B43" s="26"/>
      <c r="C43" s="26"/>
      <c r="D43" s="69">
        <f>Pessoaleducacao100108[[#This Row],[Orçado]]-Pessoaleducacao100108[[#This Row],[Real]]</f>
        <v>0</v>
      </c>
      <c r="E43" s="28"/>
      <c r="F43" s="25"/>
      <c r="G43" s="26"/>
      <c r="H43" s="26"/>
      <c r="I43" s="69">
        <f>Transporte105113[[#This Row],[Orçado]]-Transporte105113[[#This Row],[Real]]</f>
        <v>0</v>
      </c>
    </row>
    <row r="44" spans="1:11" ht="15.6" x14ac:dyDescent="0.3">
      <c r="A44" s="25" t="s">
        <v>43</v>
      </c>
      <c r="B44" s="26"/>
      <c r="C44" s="26"/>
      <c r="D44" s="69">
        <f>Pessoaleducacao100108[[#This Row],[Orçado]]-Pessoaleducacao100108[[#This Row],[Real]]</f>
        <v>0</v>
      </c>
      <c r="E44" s="28"/>
      <c r="F44" s="25"/>
      <c r="G44" s="26"/>
      <c r="H44" s="26"/>
      <c r="I44" s="69">
        <f>Transporte105113[[#This Row],[Orçado]]-Transporte105113[[#This Row],[Real]]</f>
        <v>0</v>
      </c>
    </row>
    <row r="45" spans="1:11" ht="15.6" x14ac:dyDescent="0.3">
      <c r="A45" s="25"/>
      <c r="B45" s="26"/>
      <c r="C45" s="26"/>
      <c r="D45" s="69">
        <f>Pessoaleducacao100108[[#This Row],[Orçado]]-Pessoaleducacao100108[[#This Row],[Real]]</f>
        <v>0</v>
      </c>
      <c r="E45" s="28"/>
      <c r="F45" s="29"/>
      <c r="G45" s="30"/>
      <c r="H45" s="30"/>
      <c r="I45" s="69">
        <f>Transporte105113[[#This Row],[Orçado]]-Transporte105113[[#This Row],[Real]]</f>
        <v>0</v>
      </c>
      <c r="J45" s="38"/>
      <c r="K45" s="38"/>
    </row>
    <row r="46" spans="1:11" ht="15.6" x14ac:dyDescent="0.3">
      <c r="A46" s="39" t="s">
        <v>4</v>
      </c>
      <c r="B46" s="40"/>
      <c r="C46" s="40"/>
      <c r="D46" s="69">
        <f>Pessoaleducacao100108[[#This Row],[Orçado]]-Pessoaleducacao100108[[#This Row],[Real]]</f>
        <v>0</v>
      </c>
      <c r="E46" s="28"/>
      <c r="F46" s="25" t="s">
        <v>4</v>
      </c>
      <c r="G46" s="26"/>
      <c r="H46" s="26"/>
      <c r="I46" s="69">
        <f>Transporte105113[[#This Row],[Orçado]]-Transporte105113[[#This Row],[Real]]</f>
        <v>0</v>
      </c>
      <c r="J46" s="38"/>
      <c r="K46" s="38"/>
    </row>
    <row r="47" spans="1:11" ht="18" x14ac:dyDescent="0.3">
      <c r="A47" s="66" t="s">
        <v>5</v>
      </c>
      <c r="B47" s="65">
        <f>SUM(Pessoaleducacao100108[Orçado])</f>
        <v>0</v>
      </c>
      <c r="C47" s="65">
        <f>SUM(Pessoaleducacao100108[Real])</f>
        <v>0</v>
      </c>
      <c r="D47" s="65">
        <f>SUM(Pessoaleducacao100108[Diferença])</f>
        <v>0</v>
      </c>
      <c r="E47" s="28"/>
      <c r="F47" s="66" t="s">
        <v>5</v>
      </c>
      <c r="G47" s="65">
        <f>SUM(Transporte105113[Orçado])</f>
        <v>0</v>
      </c>
      <c r="H47" s="65">
        <f>SUM(Transporte105113[Real])</f>
        <v>0</v>
      </c>
      <c r="I47" s="65">
        <f>SUM(Transporte105113[Diferença])</f>
        <v>0</v>
      </c>
      <c r="J47" s="38"/>
      <c r="K47" s="38"/>
    </row>
    <row r="48" spans="1:11" s="31" customFormat="1" ht="30" customHeight="1" x14ac:dyDescent="0.3">
      <c r="A48" s="99"/>
      <c r="B48" s="99"/>
      <c r="C48" s="99"/>
      <c r="D48" s="99"/>
      <c r="E48" s="37"/>
      <c r="F48" s="5"/>
      <c r="G48" s="5"/>
      <c r="H48" s="5"/>
      <c r="I48" s="5"/>
    </row>
    <row r="49" spans="1:9" ht="30" customHeight="1" x14ac:dyDescent="0.3">
      <c r="A49" s="75" t="s">
        <v>11</v>
      </c>
      <c r="B49" s="68"/>
      <c r="C49" s="68"/>
      <c r="D49" s="68"/>
      <c r="E49" s="28"/>
      <c r="F49" s="75"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Investimentos104112[[#This Row],[Orçado]]-Investimentos104112[[#This Row],[Real]]</f>
        <v>0</v>
      </c>
      <c r="E51" s="28"/>
      <c r="F51" s="35" t="s">
        <v>38</v>
      </c>
      <c r="G51" s="36"/>
      <c r="H51" s="36"/>
      <c r="I51" s="69">
        <f>Outros103111[[#This Row],[Orçado]]-Outros103111[[#This Row],[Real]]</f>
        <v>0</v>
      </c>
    </row>
    <row r="52" spans="1:9" ht="15.6" customHeight="1" x14ac:dyDescent="0.3">
      <c r="A52" s="25" t="s">
        <v>20</v>
      </c>
      <c r="B52" s="30"/>
      <c r="C52" s="30"/>
      <c r="D52" s="69">
        <f>Investimentos104112[[#This Row],[Orçado]]-Investimentos104112[[#This Row],[Real]]</f>
        <v>0</v>
      </c>
      <c r="E52" s="28"/>
      <c r="F52" s="25" t="s">
        <v>39</v>
      </c>
      <c r="G52" s="30"/>
      <c r="H52" s="30"/>
      <c r="I52" s="69">
        <f>Outros103111[[#This Row],[Orçado]]-Outros103111[[#This Row],[Real]]</f>
        <v>0</v>
      </c>
    </row>
    <row r="53" spans="1:9" ht="15.6" customHeight="1" x14ac:dyDescent="0.3">
      <c r="A53" s="25" t="s">
        <v>11</v>
      </c>
      <c r="B53" s="30"/>
      <c r="C53" s="30"/>
      <c r="D53" s="69">
        <f>Investimentos104112[[#This Row],[Orçado]]-Investimentos104112[[#This Row],[Real]]</f>
        <v>0</v>
      </c>
      <c r="E53" s="28"/>
      <c r="F53" s="25"/>
      <c r="G53" s="30"/>
      <c r="H53" s="30"/>
      <c r="I53" s="69">
        <f>Outros103111[[#This Row],[Orçado]]-Outros103111[[#This Row],[Real]]</f>
        <v>0</v>
      </c>
    </row>
    <row r="54" spans="1:9" ht="15.6" customHeight="1" x14ac:dyDescent="0.3">
      <c r="A54" s="25"/>
      <c r="B54" s="26"/>
      <c r="C54" s="26"/>
      <c r="D54" s="69">
        <f>Investimentos104112[[#This Row],[Orçado]]-Investimentos104112[[#This Row],[Real]]</f>
        <v>0</v>
      </c>
      <c r="E54" s="28"/>
      <c r="F54" s="25"/>
      <c r="G54" s="26"/>
      <c r="H54" s="26"/>
      <c r="I54" s="69">
        <f>Outros103111[[#This Row],[Orçado]]-Outros103111[[#This Row],[Real]]</f>
        <v>0</v>
      </c>
    </row>
    <row r="55" spans="1:9" s="31" customFormat="1" ht="15.6" customHeight="1" x14ac:dyDescent="0.3">
      <c r="A55" s="29"/>
      <c r="B55" s="30"/>
      <c r="C55" s="30"/>
      <c r="D55" s="69">
        <f>Investimentos104112[[#This Row],[Orçado]]-Investimentos104112[[#This Row],[Real]]</f>
        <v>0</v>
      </c>
      <c r="E55" s="37"/>
      <c r="F55" s="29"/>
      <c r="G55" s="30"/>
      <c r="H55" s="30"/>
      <c r="I55" s="69">
        <f>Outros103111[[#This Row],[Orçado]]-Outros103111[[#This Row],[Real]]</f>
        <v>0</v>
      </c>
    </row>
    <row r="56" spans="1:9" s="31" customFormat="1" ht="15.6" x14ac:dyDescent="0.3">
      <c r="A56" s="29"/>
      <c r="B56" s="30"/>
      <c r="C56" s="30"/>
      <c r="D56" s="69">
        <f>Investimentos104112[[#This Row],[Orçado]]-Investimentos104112[[#This Row],[Real]]</f>
        <v>0</v>
      </c>
      <c r="E56" s="37"/>
      <c r="F56" s="29"/>
      <c r="G56" s="30"/>
      <c r="H56" s="30"/>
      <c r="I56" s="69">
        <f>Outros103111[[#This Row],[Orçado]]-Outros103111[[#This Row],[Real]]</f>
        <v>0</v>
      </c>
    </row>
    <row r="57" spans="1:9" s="31" customFormat="1" ht="15.6" x14ac:dyDescent="0.3">
      <c r="A57" s="25" t="s">
        <v>4</v>
      </c>
      <c r="B57" s="26"/>
      <c r="C57" s="26"/>
      <c r="D57" s="69">
        <f>Investimentos104112[[#This Row],[Orçado]]-Investimentos104112[[#This Row],[Real]]</f>
        <v>0</v>
      </c>
      <c r="E57" s="37"/>
      <c r="F57" s="25" t="s">
        <v>4</v>
      </c>
      <c r="G57" s="26"/>
      <c r="H57" s="26"/>
      <c r="I57" s="69">
        <f>Outros103111[[#This Row],[Orçado]]-Outros103111[[#This Row],[Real]]</f>
        <v>0</v>
      </c>
    </row>
    <row r="58" spans="1:9" ht="18" x14ac:dyDescent="0.3">
      <c r="A58" s="64" t="s">
        <v>5</v>
      </c>
      <c r="B58" s="65">
        <f>SUM(Investimentos104112[Orçado])</f>
        <v>0</v>
      </c>
      <c r="C58" s="65">
        <f>SUM(Investimentos104112[Real])</f>
        <v>0</v>
      </c>
      <c r="D58" s="65">
        <f>SUM(Investimentos104112[Diferença])</f>
        <v>0</v>
      </c>
      <c r="E58" s="28"/>
      <c r="F58" s="64" t="s">
        <v>5</v>
      </c>
      <c r="G58" s="65">
        <f>SUM(Outros103111[Orçado])</f>
        <v>0</v>
      </c>
      <c r="H58" s="65">
        <f>SUM(Outros103111[Real])</f>
        <v>0</v>
      </c>
      <c r="I58" s="65">
        <f>SUM(Outros103111[Diferença])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unxETDfu5POb4ytdWI1DUfXuRuM8WqykMXM+gY3Ajw1Hr8cmVKZR0cmyzcFjVGCsLklzjAiw/wRvc12u7/bC8Q==" saltValue="NXL2S5s1rFfFZeIu0bgKIA==" spinCount="100000" sheet="1" objects="1" scenarios="1" selectLockedCells="1"/>
  <mergeCells count="17">
    <mergeCell ref="A48:D48"/>
    <mergeCell ref="A61:D61"/>
    <mergeCell ref="F6:F7"/>
    <mergeCell ref="A38:D38"/>
    <mergeCell ref="H2:I2"/>
    <mergeCell ref="A16:D16"/>
    <mergeCell ref="A2:G2"/>
    <mergeCell ref="A4:B4"/>
    <mergeCell ref="A27:D27"/>
    <mergeCell ref="A11:B11"/>
    <mergeCell ref="D12:F13"/>
    <mergeCell ref="G12:G13"/>
    <mergeCell ref="D6:E7"/>
    <mergeCell ref="D8:E9"/>
    <mergeCell ref="F8:F9"/>
    <mergeCell ref="H4:I10"/>
    <mergeCell ref="H13:I15"/>
  </mergeCells>
  <conditionalFormatting sqref="J6:J9">
    <cfRule type="containsText" dxfId="1159" priority="5" operator="containsText" text="Atenção! Cuidado com sua saúde financeira">
      <formula>NOT(ISERROR(SEARCH("Atenção! Cuidado com sua saúde financeira",J6)))</formula>
    </cfRule>
  </conditionalFormatting>
  <conditionalFormatting sqref="C14">
    <cfRule type="containsText" dxfId="1158" priority="3" operator="containsText" text="Você está dentro do orçamento">
      <formula>NOT(ISERROR(SEARCH("Você está dentro do orçamento",C14)))</formula>
    </cfRule>
    <cfRule type="containsText" dxfId="1157" priority="4" operator="containsText" text="Você está fora do orçamento">
      <formula>NOT(ISERROR(SEARCH("Você está fora do orçamento",C14)))</formula>
    </cfRule>
  </conditionalFormatting>
  <conditionalFormatting sqref="H4 J4:L10">
    <cfRule type="containsText" dxfId="1156"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1155" priority="1" stopIfTrue="1" operator="containsText" text="Atenção! Cuidado com sua saúde financeira">
      <formula>NOT(ISERROR(SEARCH("Atenção! Cuidado com sua saúde financeira",H4)))</formula>
    </cfRule>
    <cfRule type="containsText" dxfId="1154"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B9" unlockedFormula="1"/>
  </ignoredErrors>
  <drawing r:id="rId2"/>
  <tableParts count="8">
    <tablePart r:id="rId3"/>
    <tablePart r:id="rId4"/>
    <tablePart r:id="rId5"/>
    <tablePart r:id="rId6"/>
    <tablePart r:id="rId7"/>
    <tablePart r:id="rId8"/>
    <tablePart r:id="rId9"/>
    <tablePart r:id="rId10"/>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DF70-F528-4EA8-A0BC-E5CD29AB61B5}">
  <sheetPr>
    <tabColor theme="5" tint="0.79998168889431442"/>
    <pageSetUpPr autoPageBreaks="0" fitToPage="1"/>
  </sheetPr>
  <dimension ref="A1:Q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7" s="13" customFormat="1" ht="19.95" customHeight="1" x14ac:dyDescent="0.45">
      <c r="A1" s="12">
        <f ca="1">NOW()</f>
        <v>44791.47886412037</v>
      </c>
    </row>
    <row r="2" spans="1:17" s="13" customFormat="1" ht="94.8" customHeight="1" x14ac:dyDescent="0.3">
      <c r="A2" s="92" t="s">
        <v>59</v>
      </c>
      <c r="B2" s="92"/>
      <c r="C2" s="92"/>
      <c r="D2" s="92"/>
      <c r="E2" s="92"/>
      <c r="F2" s="92"/>
      <c r="G2" s="92"/>
      <c r="H2" s="84"/>
      <c r="I2" s="85"/>
      <c r="J2" s="77"/>
      <c r="K2" s="77"/>
      <c r="L2" s="77"/>
    </row>
    <row r="3" spans="1:17" s="15" customFormat="1" ht="15" customHeight="1" x14ac:dyDescent="0.3"/>
    <row r="4" spans="1:17"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row>
    <row r="5" spans="1:17" s="15" customFormat="1" ht="15.6" customHeight="1" x14ac:dyDescent="0.3">
      <c r="A5" s="6" t="s">
        <v>12</v>
      </c>
      <c r="B5" s="7">
        <v>100</v>
      </c>
      <c r="H5" s="91"/>
      <c r="I5" s="91"/>
      <c r="K5" s="76" t="str">
        <f>IF(I8&gt;0,"Parabéns! Invista na Mais Previdência", IF(I8&lt;0,"Atenção! Cuidado com sua saúde financeira.",""))</f>
        <v/>
      </c>
      <c r="L5" s="76"/>
    </row>
    <row r="6" spans="1:17" s="15" customFormat="1" ht="15.6" customHeight="1" x14ac:dyDescent="0.3">
      <c r="A6" s="8" t="s">
        <v>0</v>
      </c>
      <c r="B6" s="9">
        <v>10</v>
      </c>
      <c r="D6" s="93" t="s">
        <v>49</v>
      </c>
      <c r="E6" s="93"/>
      <c r="F6" s="88">
        <f>B9-B12</f>
        <v>220</v>
      </c>
      <c r="H6" s="91"/>
      <c r="I6" s="91"/>
      <c r="J6" s="62"/>
      <c r="K6" s="76"/>
      <c r="L6" s="76"/>
    </row>
    <row r="7" spans="1:17" s="15" customFormat="1" ht="15.6" customHeight="1" x14ac:dyDescent="0.3">
      <c r="A7" s="8" t="s">
        <v>13</v>
      </c>
      <c r="B7" s="9">
        <v>10</v>
      </c>
      <c r="D7" s="93"/>
      <c r="E7" s="93"/>
      <c r="F7" s="88"/>
      <c r="H7" s="91"/>
      <c r="I7" s="91"/>
      <c r="J7" s="62"/>
      <c r="K7" s="76"/>
      <c r="L7" s="76"/>
    </row>
    <row r="8" spans="1:17" s="15" customFormat="1" ht="15.6" customHeight="1" x14ac:dyDescent="0.3">
      <c r="A8" s="8" t="s">
        <v>14</v>
      </c>
      <c r="B8" s="9">
        <v>100</v>
      </c>
      <c r="D8" s="94" t="s">
        <v>50</v>
      </c>
      <c r="E8" s="94"/>
      <c r="F8" s="95">
        <f>B9-B13</f>
        <v>220</v>
      </c>
      <c r="H8" s="91"/>
      <c r="I8" s="91"/>
      <c r="J8" s="62"/>
      <c r="K8" s="76"/>
      <c r="L8" s="76"/>
    </row>
    <row r="9" spans="1:17" s="15" customFormat="1" ht="18" customHeight="1" x14ac:dyDescent="0.3">
      <c r="A9" s="10" t="s">
        <v>1</v>
      </c>
      <c r="B9" s="11">
        <f>SUM(B5:B8)</f>
        <v>220</v>
      </c>
      <c r="D9" s="94"/>
      <c r="E9" s="94"/>
      <c r="F9" s="95"/>
      <c r="G9" s="60"/>
      <c r="H9" s="91"/>
      <c r="I9" s="91"/>
      <c r="J9" s="62"/>
      <c r="K9" s="76"/>
      <c r="L9" s="76"/>
    </row>
    <row r="10" spans="1:17" s="15" customFormat="1" ht="30" customHeight="1" x14ac:dyDescent="0.3">
      <c r="A10" s="5"/>
      <c r="B10" s="5"/>
      <c r="D10" s="61"/>
      <c r="E10" s="61"/>
      <c r="F10" s="61"/>
      <c r="G10" s="60"/>
      <c r="H10" s="91"/>
      <c r="I10" s="91"/>
      <c r="J10" s="17"/>
      <c r="K10" s="76"/>
      <c r="L10" s="76"/>
    </row>
    <row r="11" spans="1:17" s="15" customFormat="1" ht="30" customHeight="1" x14ac:dyDescent="0.3">
      <c r="A11" s="86" t="s">
        <v>48</v>
      </c>
      <c r="B11" s="87"/>
      <c r="C11" s="16"/>
      <c r="D11" s="61"/>
      <c r="E11" s="61"/>
      <c r="F11" s="61"/>
      <c r="G11" s="60"/>
      <c r="I11" s="79"/>
      <c r="J11" s="79"/>
      <c r="K11" s="79"/>
      <c r="L11" s="79"/>
    </row>
    <row r="12" spans="1:17" s="15" customFormat="1" ht="15.6" customHeight="1" x14ac:dyDescent="0.3">
      <c r="A12" s="73" t="s">
        <v>16</v>
      </c>
      <c r="B12" s="72">
        <f>SUM(Moradia102118[Orçado],Lazer101117[Orçado],Saúde99115[Orçado],Alimentação98114[Orçado],Pessoaleducacao100116[Orçado],Transporte105121[Orçado],Investimentos104120[Orçado],Outros103119[Orçado])</f>
        <v>0</v>
      </c>
      <c r="D12" s="100"/>
      <c r="E12" s="100"/>
      <c r="F12" s="100"/>
      <c r="G12" s="89"/>
      <c r="H12" s="79"/>
      <c r="I12" s="79"/>
      <c r="J12" s="79"/>
      <c r="K12" s="79"/>
      <c r="L12" s="79"/>
    </row>
    <row r="13" spans="1:17" s="15" customFormat="1" ht="15.6" customHeight="1" x14ac:dyDescent="0.3">
      <c r="A13" s="74" t="s">
        <v>17</v>
      </c>
      <c r="B13" s="69">
        <f>SUM(Moradia102118[Real],Lazer101117[Real],Saúde99115[Real],Alimentação98114[Real],Pessoaleducacao100116[Real],Transporte105121[Real],Investimentos104120[Real],Outros103119[Real])</f>
        <v>0</v>
      </c>
      <c r="D13" s="100"/>
      <c r="E13" s="100"/>
      <c r="F13" s="100"/>
      <c r="G13" s="89"/>
      <c r="H13" s="84" t="s">
        <v>68</v>
      </c>
      <c r="I13" s="84"/>
      <c r="J13" s="79"/>
      <c r="K13" s="79"/>
      <c r="L13" s="79"/>
    </row>
    <row r="14" spans="1:17" s="15" customFormat="1" ht="18" x14ac:dyDescent="0.3">
      <c r="A14" s="70" t="s">
        <v>10</v>
      </c>
      <c r="B14" s="63">
        <f>B12-B13</f>
        <v>0</v>
      </c>
      <c r="C14" s="71" t="str">
        <f>IF(B14&gt;0,"Você está dentro do orçamento", IF(B14&lt;0,"Você está fora do orçamento",""))</f>
        <v/>
      </c>
      <c r="H14" s="84"/>
      <c r="I14" s="84"/>
    </row>
    <row r="15" spans="1:17" ht="37.799999999999997" customHeight="1" x14ac:dyDescent="0.3">
      <c r="A15" s="18"/>
      <c r="B15" s="19"/>
      <c r="H15" s="84"/>
      <c r="I15" s="84"/>
    </row>
    <row r="16" spans="1:17" ht="30" customHeight="1" x14ac:dyDescent="0.3">
      <c r="A16" s="101" t="s">
        <v>2</v>
      </c>
      <c r="B16" s="101"/>
      <c r="C16" s="101"/>
      <c r="D16" s="101"/>
      <c r="E16" s="20"/>
      <c r="F16" s="75"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Moradia102118[[#This Row],[Orçado]]-Moradia102118[[#This Row],[Real]]</f>
        <v>0</v>
      </c>
      <c r="E18" s="27"/>
      <c r="F18" s="25" t="s">
        <v>26</v>
      </c>
      <c r="G18" s="26"/>
      <c r="H18" s="26"/>
      <c r="I18" s="69">
        <f>Lazer101117[[#This Row],[Orçado]]-Lazer101117[[#This Row],[Real]]</f>
        <v>0</v>
      </c>
      <c r="M18" s="78"/>
      <c r="N18" s="78"/>
      <c r="O18" s="78"/>
      <c r="P18" s="78"/>
      <c r="Q18" s="78"/>
    </row>
    <row r="19" spans="1:17" ht="15.6" x14ac:dyDescent="0.3">
      <c r="A19" s="25" t="s">
        <v>22</v>
      </c>
      <c r="B19" s="26"/>
      <c r="C19" s="26"/>
      <c r="D19" s="69">
        <f>Moradia102118[[#This Row],[Orçado]]-Moradia102118[[#This Row],[Real]]</f>
        <v>0</v>
      </c>
      <c r="E19" s="28"/>
      <c r="F19" s="25" t="s">
        <v>27</v>
      </c>
      <c r="G19" s="26"/>
      <c r="H19" s="26"/>
      <c r="I19" s="69">
        <f>Lazer101117[[#This Row],[Orçado]]-Lazer101117[[#This Row],[Real]]</f>
        <v>0</v>
      </c>
      <c r="M19" s="78"/>
      <c r="N19" s="78"/>
      <c r="O19" s="78"/>
      <c r="P19" s="78"/>
      <c r="Q19" s="78"/>
    </row>
    <row r="20" spans="1:17" ht="15.6" x14ac:dyDescent="0.3">
      <c r="A20" s="25" t="s">
        <v>23</v>
      </c>
      <c r="B20" s="26"/>
      <c r="C20" s="26"/>
      <c r="D20" s="69">
        <f>Moradia102118[[#This Row],[Orçado]]-Moradia102118[[#This Row],[Real]]</f>
        <v>0</v>
      </c>
      <c r="E20" s="28"/>
      <c r="F20" s="25" t="s">
        <v>34</v>
      </c>
      <c r="G20" s="26"/>
      <c r="H20" s="26"/>
      <c r="I20" s="69">
        <f>Lazer101117[[#This Row],[Orçado]]-Lazer101117[[#This Row],[Real]]</f>
        <v>0</v>
      </c>
      <c r="M20" s="78"/>
      <c r="N20" s="78"/>
      <c r="O20" s="78"/>
      <c r="P20" s="78"/>
      <c r="Q20" s="78"/>
    </row>
    <row r="21" spans="1:17" ht="15.6" x14ac:dyDescent="0.3">
      <c r="A21" s="25" t="s">
        <v>24</v>
      </c>
      <c r="B21" s="26"/>
      <c r="C21" s="26"/>
      <c r="D21" s="69">
        <f>Moradia102118[[#This Row],[Orçado]]-Moradia102118[[#This Row],[Real]]</f>
        <v>0</v>
      </c>
      <c r="E21" s="28"/>
      <c r="F21" s="25"/>
      <c r="G21" s="26"/>
      <c r="H21" s="26"/>
      <c r="I21" s="69">
        <f>Lazer101117[[#This Row],[Orçado]]-Lazer101117[[#This Row],[Real]]</f>
        <v>0</v>
      </c>
    </row>
    <row r="22" spans="1:17" ht="15.6" x14ac:dyDescent="0.3">
      <c r="A22" s="25" t="s">
        <v>25</v>
      </c>
      <c r="B22" s="26"/>
      <c r="C22" s="26"/>
      <c r="D22" s="69">
        <f>Moradia102118[[#This Row],[Orçado]]-Moradia102118[[#This Row],[Real]]</f>
        <v>0</v>
      </c>
      <c r="E22" s="28"/>
      <c r="F22" s="25"/>
      <c r="G22" s="26"/>
      <c r="H22" s="26"/>
      <c r="I22" s="69">
        <f>Lazer101117[[#This Row],[Orçado]]-Lazer101117[[#This Row],[Real]]</f>
        <v>0</v>
      </c>
    </row>
    <row r="23" spans="1:17" ht="15.6" x14ac:dyDescent="0.3">
      <c r="A23" s="25"/>
      <c r="B23" s="26"/>
      <c r="C23" s="26"/>
      <c r="D23" s="69">
        <f>Moradia102118[[#This Row],[Orçado]]-Moradia102118[[#This Row],[Real]]</f>
        <v>0</v>
      </c>
      <c r="E23" s="28"/>
      <c r="F23" s="29"/>
      <c r="G23" s="30"/>
      <c r="H23" s="30"/>
      <c r="I23" s="69">
        <f>Lazer101117[[#This Row],[Orçado]]-Lazer101117[[#This Row],[Real]]</f>
        <v>0</v>
      </c>
    </row>
    <row r="24" spans="1:17" ht="15.6" x14ac:dyDescent="0.3">
      <c r="A24" s="25" t="s">
        <v>4</v>
      </c>
      <c r="B24" s="26"/>
      <c r="C24" s="26"/>
      <c r="D24" s="69">
        <f>Moradia102118[[#This Row],[Orçado]]-Moradia102118[[#This Row],[Real]]</f>
        <v>0</v>
      </c>
      <c r="E24" s="28"/>
      <c r="F24" s="25" t="s">
        <v>4</v>
      </c>
      <c r="G24" s="26"/>
      <c r="H24" s="26"/>
      <c r="I24" s="69">
        <f>Lazer101117[[#This Row],[Orçado]]-Lazer101117[[#This Row],[Real]]</f>
        <v>0</v>
      </c>
    </row>
    <row r="25" spans="1:17" ht="18" x14ac:dyDescent="0.3">
      <c r="A25" s="66" t="s">
        <v>5</v>
      </c>
      <c r="B25" s="65">
        <f>SUM(Moradia102118[Orçado])</f>
        <v>0</v>
      </c>
      <c r="C25" s="65">
        <f>SUM(Moradia102118[Real])</f>
        <v>0</v>
      </c>
      <c r="D25" s="65">
        <f>SUM(Moradia102118[Diferença])</f>
        <v>0</v>
      </c>
      <c r="E25" s="28"/>
      <c r="F25" s="66" t="s">
        <v>5</v>
      </c>
      <c r="G25" s="65">
        <f>SUM(Lazer101117[Orçado])</f>
        <v>0</v>
      </c>
      <c r="H25" s="65">
        <f>SUM(Lazer101117[Real])</f>
        <v>0</v>
      </c>
      <c r="I25" s="65">
        <f>SUM(Lazer101117[Diferença])</f>
        <v>0</v>
      </c>
    </row>
    <row r="26" spans="1:17" ht="37.799999999999997" customHeight="1" x14ac:dyDescent="0.3">
      <c r="A26" s="18"/>
      <c r="B26" s="19"/>
    </row>
    <row r="27" spans="1:17" ht="30" customHeight="1" x14ac:dyDescent="0.3">
      <c r="A27" s="101" t="s">
        <v>7</v>
      </c>
      <c r="B27" s="101"/>
      <c r="C27" s="101"/>
      <c r="D27" s="101"/>
      <c r="E27" s="20"/>
      <c r="F27" s="75"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Saúde99115[[#This Row],[Orçado]]-Saúde99115[[#This Row],[Real]]</f>
        <v>0</v>
      </c>
      <c r="E29" s="27"/>
      <c r="F29" s="25" t="s">
        <v>8</v>
      </c>
      <c r="G29" s="26"/>
      <c r="H29" s="26"/>
      <c r="I29" s="69">
        <f>Alimentação98114[[#This Row],[Orçado]]-Alimentação98114[[#This Row],[Real]]</f>
        <v>0</v>
      </c>
    </row>
    <row r="30" spans="1:17" ht="15.6" x14ac:dyDescent="0.3">
      <c r="A30" s="25" t="s">
        <v>29</v>
      </c>
      <c r="B30" s="26"/>
      <c r="C30" s="26"/>
      <c r="D30" s="69">
        <f>Saúde99115[[#This Row],[Orçado]]-Saúde99115[[#This Row],[Real]]</f>
        <v>0</v>
      </c>
      <c r="E30" s="28"/>
      <c r="F30" s="25" t="s">
        <v>37</v>
      </c>
      <c r="G30" s="26"/>
      <c r="H30" s="26"/>
      <c r="I30" s="69">
        <f>Alimentação98114[[#This Row],[Orçado]]-Alimentação98114[[#This Row],[Real]]</f>
        <v>0</v>
      </c>
    </row>
    <row r="31" spans="1:17" ht="15.6" x14ac:dyDescent="0.3">
      <c r="A31" s="25" t="s">
        <v>35</v>
      </c>
      <c r="B31" s="26"/>
      <c r="C31" s="26"/>
      <c r="D31" s="69">
        <f>Saúde99115[[#This Row],[Orçado]]-Saúde99115[[#This Row],[Real]]</f>
        <v>0</v>
      </c>
      <c r="E31" s="28"/>
      <c r="F31" s="25"/>
      <c r="G31" s="26"/>
      <c r="H31" s="26"/>
      <c r="I31" s="69">
        <f>Alimentação98114[[#This Row],[Orçado]]-Alimentação98114[[#This Row],[Real]]</f>
        <v>0</v>
      </c>
    </row>
    <row r="32" spans="1:17" ht="15.6" x14ac:dyDescent="0.3">
      <c r="A32" s="25"/>
      <c r="B32" s="26"/>
      <c r="C32" s="26"/>
      <c r="D32" s="69">
        <f>Saúde99115[[#This Row],[Orçado]]-Saúde99115[[#This Row],[Real]]</f>
        <v>0</v>
      </c>
      <c r="E32" s="28"/>
      <c r="F32" s="25"/>
      <c r="G32" s="26"/>
      <c r="H32" s="26"/>
      <c r="I32" s="69">
        <f>Alimentação98114[[#This Row],[Orçado]]-Alimentação98114[[#This Row],[Real]]</f>
        <v>0</v>
      </c>
    </row>
    <row r="33" spans="1:11" ht="15.6" x14ac:dyDescent="0.3">
      <c r="A33" s="25"/>
      <c r="B33" s="26"/>
      <c r="C33" s="26"/>
      <c r="D33" s="69">
        <f>Saúde99115[[#This Row],[Orçado]]-Saúde99115[[#This Row],[Real]]</f>
        <v>0</v>
      </c>
      <c r="E33" s="28"/>
      <c r="F33" s="25"/>
      <c r="G33" s="26"/>
      <c r="H33" s="26"/>
      <c r="I33" s="69">
        <f>Alimentação98114[[#This Row],[Orçado]]-Alimentação98114[[#This Row],[Real]]</f>
        <v>0</v>
      </c>
    </row>
    <row r="34" spans="1:11" ht="15.6" x14ac:dyDescent="0.3">
      <c r="A34" s="25"/>
      <c r="B34" s="26"/>
      <c r="C34" s="26"/>
      <c r="D34" s="69">
        <f>Saúde99115[[#This Row],[Orçado]]-Saúde99115[[#This Row],[Real]]</f>
        <v>0</v>
      </c>
      <c r="E34" s="28"/>
      <c r="F34" s="29"/>
      <c r="G34" s="30"/>
      <c r="H34" s="30"/>
      <c r="I34" s="69">
        <f>Alimentação98114[[#This Row],[Orçado]]-Alimentação98114[[#This Row],[Real]]</f>
        <v>0</v>
      </c>
    </row>
    <row r="35" spans="1:11" ht="15.6" x14ac:dyDescent="0.3">
      <c r="A35" s="25" t="s">
        <v>4</v>
      </c>
      <c r="B35" s="26"/>
      <c r="C35" s="26"/>
      <c r="D35" s="69">
        <f>Saúde99115[[#This Row],[Orçado]]-Saúde99115[[#This Row],[Real]]</f>
        <v>0</v>
      </c>
      <c r="E35" s="28"/>
      <c r="F35" s="25" t="s">
        <v>4</v>
      </c>
      <c r="G35" s="26"/>
      <c r="H35" s="26"/>
      <c r="I35" s="69">
        <f>Alimentação98114[[#This Row],[Orçado]]-Alimentação98114[[#This Row],[Real]]</f>
        <v>0</v>
      </c>
    </row>
    <row r="36" spans="1:11" ht="18" x14ac:dyDescent="0.3">
      <c r="A36" s="66" t="s">
        <v>5</v>
      </c>
      <c r="B36" s="65">
        <f>SUM(Saúde99115[Orçado])</f>
        <v>0</v>
      </c>
      <c r="C36" s="65">
        <f>SUM(Saúde99115[Real])</f>
        <v>0</v>
      </c>
      <c r="D36" s="65">
        <f>SUM(Saúde99115[Diferença])</f>
        <v>0</v>
      </c>
      <c r="E36" s="28"/>
      <c r="F36" s="66" t="s">
        <v>5</v>
      </c>
      <c r="G36" s="65">
        <f>SUM(Alimentação98114[Orçado])</f>
        <v>0</v>
      </c>
      <c r="H36" s="65">
        <f>SUM(Alimentação98114[Real])</f>
        <v>0</v>
      </c>
      <c r="I36" s="65">
        <f>SUM(Alimentação98114[Diferença])</f>
        <v>0</v>
      </c>
    </row>
    <row r="37" spans="1:11" ht="30" customHeight="1" x14ac:dyDescent="0.3">
      <c r="A37" s="32"/>
      <c r="B37" s="33"/>
      <c r="C37" s="33"/>
      <c r="D37" s="34"/>
      <c r="E37" s="28"/>
    </row>
    <row r="38" spans="1:11" ht="30" customHeight="1" x14ac:dyDescent="0.3">
      <c r="A38" s="101" t="s">
        <v>40</v>
      </c>
      <c r="B38" s="101"/>
      <c r="C38" s="101"/>
      <c r="D38" s="101"/>
      <c r="E38" s="28"/>
      <c r="F38" s="75"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Pessoaleducacao100116[[#This Row],[Orçado]]-Pessoaleducacao100116[[#This Row],[Real]]</f>
        <v>0</v>
      </c>
      <c r="E40" s="37"/>
      <c r="F40" s="25" t="s">
        <v>30</v>
      </c>
      <c r="G40" s="26"/>
      <c r="H40" s="26"/>
      <c r="I40" s="69">
        <f>Transporte105121[[#This Row],[Orçado]]-Transporte105121[[#This Row],[Real]]</f>
        <v>0</v>
      </c>
    </row>
    <row r="41" spans="1:11" ht="15.6" x14ac:dyDescent="0.3">
      <c r="A41" s="25" t="s">
        <v>9</v>
      </c>
      <c r="B41" s="26"/>
      <c r="C41" s="26"/>
      <c r="D41" s="69">
        <f>Pessoaleducacao100116[[#This Row],[Orçado]]-Pessoaleducacao100116[[#This Row],[Real]]</f>
        <v>0</v>
      </c>
      <c r="E41" s="28"/>
      <c r="F41" s="25" t="s">
        <v>31</v>
      </c>
      <c r="G41" s="26"/>
      <c r="H41" s="26"/>
      <c r="I41" s="69">
        <f>Transporte105121[[#This Row],[Orçado]]-Transporte105121[[#This Row],[Real]]</f>
        <v>0</v>
      </c>
    </row>
    <row r="42" spans="1:11" ht="15.6" x14ac:dyDescent="0.3">
      <c r="A42" s="25" t="s">
        <v>41</v>
      </c>
      <c r="B42" s="26"/>
      <c r="C42" s="26"/>
      <c r="D42" s="69">
        <f>Pessoaleducacao100116[[#This Row],[Orçado]]-Pessoaleducacao100116[[#This Row],[Real]]</f>
        <v>0</v>
      </c>
      <c r="E42" s="28"/>
      <c r="F42" s="25" t="s">
        <v>32</v>
      </c>
      <c r="G42" s="26"/>
      <c r="H42" s="26"/>
      <c r="I42" s="69">
        <f>Transporte105121[[#This Row],[Orçado]]-Transporte105121[[#This Row],[Real]]</f>
        <v>0</v>
      </c>
    </row>
    <row r="43" spans="1:11" ht="15.6" x14ac:dyDescent="0.3">
      <c r="A43" s="25" t="s">
        <v>42</v>
      </c>
      <c r="B43" s="26"/>
      <c r="C43" s="26"/>
      <c r="D43" s="69">
        <f>Pessoaleducacao100116[[#This Row],[Orçado]]-Pessoaleducacao100116[[#This Row],[Real]]</f>
        <v>0</v>
      </c>
      <c r="E43" s="28"/>
      <c r="F43" s="25"/>
      <c r="G43" s="26"/>
      <c r="H43" s="26"/>
      <c r="I43" s="69">
        <f>Transporte105121[[#This Row],[Orçado]]-Transporte105121[[#This Row],[Real]]</f>
        <v>0</v>
      </c>
    </row>
    <row r="44" spans="1:11" ht="15.6" x14ac:dyDescent="0.3">
      <c r="A44" s="25" t="s">
        <v>43</v>
      </c>
      <c r="B44" s="26"/>
      <c r="C44" s="26"/>
      <c r="D44" s="69">
        <f>Pessoaleducacao100116[[#This Row],[Orçado]]-Pessoaleducacao100116[[#This Row],[Real]]</f>
        <v>0</v>
      </c>
      <c r="E44" s="28"/>
      <c r="F44" s="25"/>
      <c r="G44" s="26"/>
      <c r="H44" s="26"/>
      <c r="I44" s="69">
        <f>Transporte105121[[#This Row],[Orçado]]-Transporte105121[[#This Row],[Real]]</f>
        <v>0</v>
      </c>
    </row>
    <row r="45" spans="1:11" ht="15.6" x14ac:dyDescent="0.3">
      <c r="A45" s="25"/>
      <c r="B45" s="26"/>
      <c r="C45" s="26"/>
      <c r="D45" s="69">
        <f>Pessoaleducacao100116[[#This Row],[Orçado]]-Pessoaleducacao100116[[#This Row],[Real]]</f>
        <v>0</v>
      </c>
      <c r="E45" s="28"/>
      <c r="F45" s="29"/>
      <c r="G45" s="30"/>
      <c r="H45" s="30"/>
      <c r="I45" s="69">
        <f>Transporte105121[[#This Row],[Orçado]]-Transporte105121[[#This Row],[Real]]</f>
        <v>0</v>
      </c>
      <c r="J45" s="38"/>
      <c r="K45" s="38"/>
    </row>
    <row r="46" spans="1:11" ht="15.6" x14ac:dyDescent="0.3">
      <c r="A46" s="39" t="s">
        <v>4</v>
      </c>
      <c r="B46" s="40"/>
      <c r="C46" s="40"/>
      <c r="D46" s="69">
        <f>Pessoaleducacao100116[[#This Row],[Orçado]]-Pessoaleducacao100116[[#This Row],[Real]]</f>
        <v>0</v>
      </c>
      <c r="E46" s="28"/>
      <c r="F46" s="25" t="s">
        <v>4</v>
      </c>
      <c r="G46" s="26"/>
      <c r="H46" s="26"/>
      <c r="I46" s="69">
        <f>Transporte105121[[#This Row],[Orçado]]-Transporte105121[[#This Row],[Real]]</f>
        <v>0</v>
      </c>
      <c r="J46" s="38"/>
      <c r="K46" s="38"/>
    </row>
    <row r="47" spans="1:11" ht="18" x14ac:dyDescent="0.3">
      <c r="A47" s="66" t="s">
        <v>5</v>
      </c>
      <c r="B47" s="65">
        <f>SUM(Pessoaleducacao100116[Orçado])</f>
        <v>0</v>
      </c>
      <c r="C47" s="65">
        <f>SUM(Pessoaleducacao100116[Real])</f>
        <v>0</v>
      </c>
      <c r="D47" s="65">
        <f>SUM(Pessoaleducacao100116[Diferença])</f>
        <v>0</v>
      </c>
      <c r="E47" s="28"/>
      <c r="F47" s="66" t="s">
        <v>5</v>
      </c>
      <c r="G47" s="65">
        <f>SUM(Transporte105121[Orçado])</f>
        <v>0</v>
      </c>
      <c r="H47" s="65">
        <f>SUM(Transporte105121[Real])</f>
        <v>0</v>
      </c>
      <c r="I47" s="65">
        <f>SUM(Transporte105121[Diferença])</f>
        <v>0</v>
      </c>
      <c r="J47" s="38"/>
      <c r="K47" s="38"/>
    </row>
    <row r="48" spans="1:11" s="31" customFormat="1" ht="30" customHeight="1" x14ac:dyDescent="0.3">
      <c r="A48" s="99"/>
      <c r="B48" s="99"/>
      <c r="C48" s="99"/>
      <c r="D48" s="99"/>
      <c r="E48" s="37"/>
      <c r="F48" s="5"/>
      <c r="G48" s="5"/>
      <c r="H48" s="5"/>
      <c r="I48" s="5"/>
    </row>
    <row r="49" spans="1:9" ht="30" customHeight="1" x14ac:dyDescent="0.3">
      <c r="A49" s="75" t="s">
        <v>11</v>
      </c>
      <c r="B49" s="68"/>
      <c r="C49" s="68"/>
      <c r="D49" s="68"/>
      <c r="E49" s="28"/>
      <c r="F49" s="75"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Investimentos104120[[#This Row],[Orçado]]-Investimentos104120[[#This Row],[Real]]</f>
        <v>0</v>
      </c>
      <c r="E51" s="28"/>
      <c r="F51" s="35" t="s">
        <v>38</v>
      </c>
      <c r="G51" s="36"/>
      <c r="H51" s="36"/>
      <c r="I51" s="69">
        <f>Outros103119[[#This Row],[Orçado]]-Outros103119[[#This Row],[Real]]</f>
        <v>0</v>
      </c>
    </row>
    <row r="52" spans="1:9" ht="15.6" customHeight="1" x14ac:dyDescent="0.3">
      <c r="A52" s="25" t="s">
        <v>20</v>
      </c>
      <c r="B52" s="30"/>
      <c r="C52" s="30"/>
      <c r="D52" s="69">
        <f>Investimentos104120[[#This Row],[Orçado]]-Investimentos104120[[#This Row],[Real]]</f>
        <v>0</v>
      </c>
      <c r="E52" s="28"/>
      <c r="F52" s="25" t="s">
        <v>39</v>
      </c>
      <c r="G52" s="30"/>
      <c r="H52" s="30"/>
      <c r="I52" s="69">
        <f>Outros103119[[#This Row],[Orçado]]-Outros103119[[#This Row],[Real]]</f>
        <v>0</v>
      </c>
    </row>
    <row r="53" spans="1:9" ht="15.6" customHeight="1" x14ac:dyDescent="0.3">
      <c r="A53" s="25" t="s">
        <v>11</v>
      </c>
      <c r="B53" s="30"/>
      <c r="C53" s="30"/>
      <c r="D53" s="69">
        <f>Investimentos104120[[#This Row],[Orçado]]-Investimentos104120[[#This Row],[Real]]</f>
        <v>0</v>
      </c>
      <c r="E53" s="28"/>
      <c r="F53" s="25"/>
      <c r="G53" s="30"/>
      <c r="H53" s="30"/>
      <c r="I53" s="69">
        <f>Outros103119[[#This Row],[Orçado]]-Outros103119[[#This Row],[Real]]</f>
        <v>0</v>
      </c>
    </row>
    <row r="54" spans="1:9" ht="15.6" customHeight="1" x14ac:dyDescent="0.3">
      <c r="A54" s="25"/>
      <c r="B54" s="26"/>
      <c r="C54" s="26"/>
      <c r="D54" s="69">
        <f>Investimentos104120[[#This Row],[Orçado]]-Investimentos104120[[#This Row],[Real]]</f>
        <v>0</v>
      </c>
      <c r="E54" s="28"/>
      <c r="F54" s="25"/>
      <c r="G54" s="26"/>
      <c r="H54" s="26"/>
      <c r="I54" s="69">
        <f>Outros103119[[#This Row],[Orçado]]-Outros103119[[#This Row],[Real]]</f>
        <v>0</v>
      </c>
    </row>
    <row r="55" spans="1:9" s="31" customFormat="1" ht="15.6" customHeight="1" x14ac:dyDescent="0.3">
      <c r="A55" s="29"/>
      <c r="B55" s="30"/>
      <c r="C55" s="30"/>
      <c r="D55" s="69">
        <f>Investimentos104120[[#This Row],[Orçado]]-Investimentos104120[[#This Row],[Real]]</f>
        <v>0</v>
      </c>
      <c r="E55" s="37"/>
      <c r="F55" s="29"/>
      <c r="G55" s="30"/>
      <c r="H55" s="30"/>
      <c r="I55" s="69">
        <f>Outros103119[[#This Row],[Orçado]]-Outros103119[[#This Row],[Real]]</f>
        <v>0</v>
      </c>
    </row>
    <row r="56" spans="1:9" s="31" customFormat="1" ht="15.6" x14ac:dyDescent="0.3">
      <c r="A56" s="29"/>
      <c r="B56" s="30"/>
      <c r="C56" s="30"/>
      <c r="D56" s="69">
        <f>Investimentos104120[[#This Row],[Orçado]]-Investimentos104120[[#This Row],[Real]]</f>
        <v>0</v>
      </c>
      <c r="E56" s="37"/>
      <c r="F56" s="29"/>
      <c r="G56" s="30"/>
      <c r="H56" s="30"/>
      <c r="I56" s="69">
        <f>Outros103119[[#This Row],[Orçado]]-Outros103119[[#This Row],[Real]]</f>
        <v>0</v>
      </c>
    </row>
    <row r="57" spans="1:9" s="31" customFormat="1" ht="15.6" x14ac:dyDescent="0.3">
      <c r="A57" s="25" t="s">
        <v>4</v>
      </c>
      <c r="B57" s="26"/>
      <c r="C57" s="26"/>
      <c r="D57" s="69">
        <f>Investimentos104120[[#This Row],[Orçado]]-Investimentos104120[[#This Row],[Real]]</f>
        <v>0</v>
      </c>
      <c r="E57" s="37"/>
      <c r="F57" s="25" t="s">
        <v>4</v>
      </c>
      <c r="G57" s="26"/>
      <c r="H57" s="26"/>
      <c r="I57" s="69">
        <f>Outros103119[[#This Row],[Orçado]]-Outros103119[[#This Row],[Real]]</f>
        <v>0</v>
      </c>
    </row>
    <row r="58" spans="1:9" ht="18" x14ac:dyDescent="0.3">
      <c r="A58" s="64" t="s">
        <v>5</v>
      </c>
      <c r="B58" s="65">
        <f>SUM(Investimentos104120[Orçado])</f>
        <v>0</v>
      </c>
      <c r="C58" s="65">
        <f>SUM(Investimentos104120[Real])</f>
        <v>0</v>
      </c>
      <c r="D58" s="65">
        <f>SUM(Investimentos104120[Diferença])</f>
        <v>0</v>
      </c>
      <c r="E58" s="28"/>
      <c r="F58" s="64" t="s">
        <v>5</v>
      </c>
      <c r="G58" s="65">
        <f>SUM(Outros103119[Orçado])</f>
        <v>0</v>
      </c>
      <c r="H58" s="65">
        <f>SUM(Outros103119[Real])</f>
        <v>0</v>
      </c>
      <c r="I58" s="65">
        <f>SUM(Outros103119[Diferença])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82erqmsmPY55hf0m59RQm3jWX2AzB+MYlqYyvgEbe+3CykJl/m+FOvu2iBkamIM+ZFN7l+Qa6MaTd0f14pixxA==" saltValue="9EdlqhL9ndZSLvBvzSt8XA==" spinCount="100000" sheet="1" objects="1" scenarios="1" selectLockedCells="1"/>
  <mergeCells count="17">
    <mergeCell ref="A48:D48"/>
    <mergeCell ref="A61:D61"/>
    <mergeCell ref="F6:F7"/>
    <mergeCell ref="A38:D38"/>
    <mergeCell ref="H2:I2"/>
    <mergeCell ref="A16:D16"/>
    <mergeCell ref="A2:G2"/>
    <mergeCell ref="A4:B4"/>
    <mergeCell ref="A27:D27"/>
    <mergeCell ref="A11:B11"/>
    <mergeCell ref="D12:F13"/>
    <mergeCell ref="G12:G13"/>
    <mergeCell ref="D6:E7"/>
    <mergeCell ref="D8:E9"/>
    <mergeCell ref="F8:F9"/>
    <mergeCell ref="H4:I10"/>
    <mergeCell ref="H13:I15"/>
  </mergeCells>
  <conditionalFormatting sqref="J6:J9">
    <cfRule type="containsText" dxfId="1043" priority="5" operator="containsText" text="Atenção! Cuidado com sua saúde financeira">
      <formula>NOT(ISERROR(SEARCH("Atenção! Cuidado com sua saúde financeira",J6)))</formula>
    </cfRule>
  </conditionalFormatting>
  <conditionalFormatting sqref="C14">
    <cfRule type="containsText" dxfId="1042" priority="3" operator="containsText" text="Você está dentro do orçamento">
      <formula>NOT(ISERROR(SEARCH("Você está dentro do orçamento",C14)))</formula>
    </cfRule>
    <cfRule type="containsText" dxfId="1041" priority="4" operator="containsText" text="Você está fora do orçamento">
      <formula>NOT(ISERROR(SEARCH("Você está fora do orçamento",C14)))</formula>
    </cfRule>
  </conditionalFormatting>
  <conditionalFormatting sqref="H4 J4:L10">
    <cfRule type="containsText" dxfId="1040"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1039" priority="1" stopIfTrue="1" operator="containsText" text="Atenção! Cuidado com sua saúde financeira">
      <formula>NOT(ISERROR(SEARCH("Atenção! Cuidado com sua saúde financeira",H4)))</formula>
    </cfRule>
    <cfRule type="containsText" dxfId="1038"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B9" unlockedFormula="1"/>
  </ignoredErrors>
  <drawing r:id="rId2"/>
  <tableParts count="8">
    <tablePart r:id="rId3"/>
    <tablePart r:id="rId4"/>
    <tablePart r:id="rId5"/>
    <tablePart r:id="rId6"/>
    <tablePart r:id="rId7"/>
    <tablePart r:id="rId8"/>
    <tablePart r:id="rId9"/>
    <tablePart r:id="rId10"/>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ECF26-86E8-495D-9006-54467BBFE595}">
  <sheetPr>
    <tabColor theme="5"/>
    <pageSetUpPr autoPageBreaks="0" fitToPage="1"/>
  </sheetPr>
  <dimension ref="A1:Q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7" s="13" customFormat="1" ht="19.95" customHeight="1" x14ac:dyDescent="0.45">
      <c r="A1" s="12">
        <f ca="1">NOW()</f>
        <v>44791.47886412037</v>
      </c>
    </row>
    <row r="2" spans="1:17" s="13" customFormat="1" ht="94.8" customHeight="1" x14ac:dyDescent="0.3">
      <c r="A2" s="92" t="s">
        <v>60</v>
      </c>
      <c r="B2" s="92"/>
      <c r="C2" s="92"/>
      <c r="D2" s="92"/>
      <c r="E2" s="92"/>
      <c r="F2" s="92"/>
      <c r="G2" s="92"/>
      <c r="H2" s="84"/>
      <c r="I2" s="85"/>
      <c r="J2" s="77"/>
      <c r="K2" s="77"/>
      <c r="L2" s="77"/>
    </row>
    <row r="3" spans="1:17" s="15" customFormat="1" ht="15" customHeight="1" x14ac:dyDescent="0.3"/>
    <row r="4" spans="1:17"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row>
    <row r="5" spans="1:17" s="15" customFormat="1" ht="15.6" customHeight="1" x14ac:dyDescent="0.3">
      <c r="A5" s="6" t="s">
        <v>12</v>
      </c>
      <c r="B5" s="7">
        <v>100</v>
      </c>
      <c r="H5" s="91"/>
      <c r="I5" s="91"/>
      <c r="K5" s="76" t="str">
        <f>IF(I8&gt;0,"Parabéns! Invista na Mais Previdência", IF(I8&lt;0,"Atenção! Cuidado com sua saúde financeira.",""))</f>
        <v/>
      </c>
      <c r="L5" s="76"/>
    </row>
    <row r="6" spans="1:17" s="15" customFormat="1" ht="15.6" customHeight="1" x14ac:dyDescent="0.3">
      <c r="A6" s="8" t="s">
        <v>0</v>
      </c>
      <c r="B6" s="9">
        <v>10</v>
      </c>
      <c r="D6" s="93" t="s">
        <v>49</v>
      </c>
      <c r="E6" s="93"/>
      <c r="F6" s="88">
        <f>B9-B12</f>
        <v>220</v>
      </c>
      <c r="H6" s="91"/>
      <c r="I6" s="91"/>
      <c r="J6" s="62"/>
      <c r="K6" s="76"/>
      <c r="L6" s="76"/>
    </row>
    <row r="7" spans="1:17" s="15" customFormat="1" ht="15.6" customHeight="1" x14ac:dyDescent="0.3">
      <c r="A7" s="8" t="s">
        <v>13</v>
      </c>
      <c r="B7" s="9">
        <v>10</v>
      </c>
      <c r="D7" s="93"/>
      <c r="E7" s="93"/>
      <c r="F7" s="88"/>
      <c r="H7" s="91"/>
      <c r="I7" s="91"/>
      <c r="J7" s="62"/>
      <c r="K7" s="76"/>
      <c r="L7" s="76"/>
    </row>
    <row r="8" spans="1:17" s="15" customFormat="1" ht="15.6" customHeight="1" x14ac:dyDescent="0.3">
      <c r="A8" s="8" t="s">
        <v>14</v>
      </c>
      <c r="B8" s="9">
        <v>100</v>
      </c>
      <c r="D8" s="94" t="s">
        <v>50</v>
      </c>
      <c r="E8" s="94"/>
      <c r="F8" s="95">
        <f>B9-B13</f>
        <v>220</v>
      </c>
      <c r="H8" s="91"/>
      <c r="I8" s="91"/>
      <c r="J8" s="62"/>
      <c r="K8" s="76"/>
      <c r="L8" s="76"/>
    </row>
    <row r="9" spans="1:17" s="15" customFormat="1" ht="18" customHeight="1" x14ac:dyDescent="0.3">
      <c r="A9" s="10" t="s">
        <v>1</v>
      </c>
      <c r="B9" s="11">
        <f>SUM(B5:B8)</f>
        <v>220</v>
      </c>
      <c r="D9" s="94"/>
      <c r="E9" s="94"/>
      <c r="F9" s="95"/>
      <c r="G9" s="60"/>
      <c r="H9" s="91"/>
      <c r="I9" s="91"/>
      <c r="J9" s="62"/>
      <c r="K9" s="76"/>
      <c r="L9" s="76"/>
    </row>
    <row r="10" spans="1:17" s="15" customFormat="1" ht="30" customHeight="1" x14ac:dyDescent="0.3">
      <c r="A10" s="5"/>
      <c r="B10" s="5"/>
      <c r="D10" s="61"/>
      <c r="E10" s="61"/>
      <c r="F10" s="61"/>
      <c r="G10" s="60"/>
      <c r="H10" s="91"/>
      <c r="I10" s="91"/>
      <c r="J10" s="17"/>
      <c r="K10" s="76"/>
      <c r="L10" s="76"/>
    </row>
    <row r="11" spans="1:17" s="15" customFormat="1" ht="30" customHeight="1" x14ac:dyDescent="0.3">
      <c r="A11" s="86" t="s">
        <v>48</v>
      </c>
      <c r="B11" s="87"/>
      <c r="C11" s="16"/>
      <c r="D11" s="61"/>
      <c r="E11" s="61"/>
      <c r="F11" s="61"/>
      <c r="G11" s="60"/>
      <c r="I11" s="79"/>
      <c r="J11" s="79"/>
      <c r="K11" s="79"/>
      <c r="L11" s="79"/>
    </row>
    <row r="12" spans="1:17" s="15" customFormat="1" ht="15.6" customHeight="1" x14ac:dyDescent="0.3">
      <c r="A12" s="73" t="s">
        <v>16</v>
      </c>
      <c r="B12" s="72">
        <f>SUM(Moradia102126[Orçado],Lazer101125[Orçado],Saúde99123[Orçado],Alimentação98122[Orçado],Pessoaleducacao100124[Orçado],Transporte105129[Orçado],Investimentos104128[Orçado],Outros103127[Orçado])</f>
        <v>0</v>
      </c>
      <c r="D12" s="100"/>
      <c r="E12" s="100"/>
      <c r="F12" s="100"/>
      <c r="G12" s="89"/>
      <c r="H12" s="79"/>
      <c r="I12" s="79"/>
      <c r="J12" s="79"/>
      <c r="K12" s="79"/>
      <c r="L12" s="79"/>
    </row>
    <row r="13" spans="1:17" s="15" customFormat="1" ht="15.6" customHeight="1" x14ac:dyDescent="0.3">
      <c r="A13" s="74" t="s">
        <v>17</v>
      </c>
      <c r="B13" s="69">
        <f>SUM(Moradia102126[Real],Lazer101125[Real],Saúde99123[Real],Alimentação98122[Real],Pessoaleducacao100124[Real],Transporte105129[Real],Investimentos104128[Real],Outros103127[Real])</f>
        <v>0</v>
      </c>
      <c r="D13" s="100"/>
      <c r="E13" s="100"/>
      <c r="F13" s="100"/>
      <c r="G13" s="89"/>
      <c r="H13" s="84" t="s">
        <v>68</v>
      </c>
      <c r="I13" s="84"/>
      <c r="J13" s="79"/>
      <c r="K13" s="79"/>
      <c r="L13" s="79"/>
    </row>
    <row r="14" spans="1:17" s="15" customFormat="1" ht="18" x14ac:dyDescent="0.3">
      <c r="A14" s="70" t="s">
        <v>10</v>
      </c>
      <c r="B14" s="63">
        <f>B12-B13</f>
        <v>0</v>
      </c>
      <c r="C14" s="71" t="str">
        <f>IF(B14&gt;0,"Você está dentro do orçamento", IF(B14&lt;0,"Você está fora do orçamento",""))</f>
        <v/>
      </c>
      <c r="H14" s="84"/>
      <c r="I14" s="84"/>
    </row>
    <row r="15" spans="1:17" ht="37.799999999999997" customHeight="1" x14ac:dyDescent="0.3">
      <c r="A15" s="18"/>
      <c r="B15" s="19"/>
      <c r="H15" s="84"/>
      <c r="I15" s="84"/>
    </row>
    <row r="16" spans="1:17" ht="30" customHeight="1" x14ac:dyDescent="0.3">
      <c r="A16" s="101" t="s">
        <v>2</v>
      </c>
      <c r="B16" s="101"/>
      <c r="C16" s="101"/>
      <c r="D16" s="101"/>
      <c r="E16" s="20"/>
      <c r="F16" s="75"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Moradia102126[[#This Row],[Orçado]]-Moradia102126[[#This Row],[Real]]</f>
        <v>0</v>
      </c>
      <c r="E18" s="27"/>
      <c r="F18" s="25" t="s">
        <v>26</v>
      </c>
      <c r="G18" s="26"/>
      <c r="H18" s="26"/>
      <c r="I18" s="69">
        <f>Lazer101125[[#This Row],[Orçado]]-Lazer101125[[#This Row],[Real]]</f>
        <v>0</v>
      </c>
      <c r="M18" s="78"/>
      <c r="N18" s="78"/>
      <c r="O18" s="78"/>
      <c r="P18" s="78"/>
      <c r="Q18" s="78"/>
    </row>
    <row r="19" spans="1:17" ht="15.6" x14ac:dyDescent="0.3">
      <c r="A19" s="25" t="s">
        <v>22</v>
      </c>
      <c r="B19" s="26"/>
      <c r="C19" s="26"/>
      <c r="D19" s="69">
        <f>Moradia102126[[#This Row],[Orçado]]-Moradia102126[[#This Row],[Real]]</f>
        <v>0</v>
      </c>
      <c r="E19" s="28"/>
      <c r="F19" s="25" t="s">
        <v>27</v>
      </c>
      <c r="G19" s="26"/>
      <c r="H19" s="26"/>
      <c r="I19" s="69">
        <f>Lazer101125[[#This Row],[Orçado]]-Lazer101125[[#This Row],[Real]]</f>
        <v>0</v>
      </c>
      <c r="M19" s="78"/>
      <c r="N19" s="78"/>
      <c r="O19" s="78"/>
      <c r="P19" s="78"/>
      <c r="Q19" s="78"/>
    </row>
    <row r="20" spans="1:17" ht="15.6" x14ac:dyDescent="0.3">
      <c r="A20" s="25" t="s">
        <v>23</v>
      </c>
      <c r="B20" s="26"/>
      <c r="C20" s="26"/>
      <c r="D20" s="69">
        <f>Moradia102126[[#This Row],[Orçado]]-Moradia102126[[#This Row],[Real]]</f>
        <v>0</v>
      </c>
      <c r="E20" s="28"/>
      <c r="F20" s="25" t="s">
        <v>34</v>
      </c>
      <c r="G20" s="26"/>
      <c r="H20" s="26"/>
      <c r="I20" s="69">
        <f>Lazer101125[[#This Row],[Orçado]]-Lazer101125[[#This Row],[Real]]</f>
        <v>0</v>
      </c>
      <c r="M20" s="78"/>
      <c r="N20" s="78"/>
      <c r="O20" s="78"/>
      <c r="P20" s="78"/>
      <c r="Q20" s="78"/>
    </row>
    <row r="21" spans="1:17" ht="15.6" x14ac:dyDescent="0.3">
      <c r="A21" s="25" t="s">
        <v>24</v>
      </c>
      <c r="B21" s="26"/>
      <c r="C21" s="26"/>
      <c r="D21" s="69">
        <f>Moradia102126[[#This Row],[Orçado]]-Moradia102126[[#This Row],[Real]]</f>
        <v>0</v>
      </c>
      <c r="E21" s="28"/>
      <c r="F21" s="25"/>
      <c r="G21" s="26"/>
      <c r="H21" s="26"/>
      <c r="I21" s="69">
        <f>Lazer101125[[#This Row],[Orçado]]-Lazer101125[[#This Row],[Real]]</f>
        <v>0</v>
      </c>
    </row>
    <row r="22" spans="1:17" ht="15.6" x14ac:dyDescent="0.3">
      <c r="A22" s="25" t="s">
        <v>25</v>
      </c>
      <c r="B22" s="26"/>
      <c r="C22" s="26"/>
      <c r="D22" s="69">
        <f>Moradia102126[[#This Row],[Orçado]]-Moradia102126[[#This Row],[Real]]</f>
        <v>0</v>
      </c>
      <c r="E22" s="28"/>
      <c r="F22" s="25"/>
      <c r="G22" s="26"/>
      <c r="H22" s="26"/>
      <c r="I22" s="69">
        <f>Lazer101125[[#This Row],[Orçado]]-Lazer101125[[#This Row],[Real]]</f>
        <v>0</v>
      </c>
    </row>
    <row r="23" spans="1:17" ht="15.6" x14ac:dyDescent="0.3">
      <c r="A23" s="25"/>
      <c r="B23" s="26"/>
      <c r="C23" s="26"/>
      <c r="D23" s="69">
        <f>Moradia102126[[#This Row],[Orçado]]-Moradia102126[[#This Row],[Real]]</f>
        <v>0</v>
      </c>
      <c r="E23" s="28"/>
      <c r="F23" s="29"/>
      <c r="G23" s="30"/>
      <c r="H23" s="30"/>
      <c r="I23" s="69">
        <f>Lazer101125[[#This Row],[Orçado]]-Lazer101125[[#This Row],[Real]]</f>
        <v>0</v>
      </c>
    </row>
    <row r="24" spans="1:17" ht="15.6" x14ac:dyDescent="0.3">
      <c r="A24" s="25" t="s">
        <v>4</v>
      </c>
      <c r="B24" s="26"/>
      <c r="C24" s="26"/>
      <c r="D24" s="69">
        <f>Moradia102126[[#This Row],[Orçado]]-Moradia102126[[#This Row],[Real]]</f>
        <v>0</v>
      </c>
      <c r="E24" s="28"/>
      <c r="F24" s="25" t="s">
        <v>4</v>
      </c>
      <c r="G24" s="26"/>
      <c r="H24" s="26"/>
      <c r="I24" s="69">
        <f>Lazer101125[[#This Row],[Orçado]]-Lazer101125[[#This Row],[Real]]</f>
        <v>0</v>
      </c>
    </row>
    <row r="25" spans="1:17" ht="18" x14ac:dyDescent="0.3">
      <c r="A25" s="66" t="s">
        <v>5</v>
      </c>
      <c r="B25" s="65">
        <f>SUM(Moradia102126[Orçado])</f>
        <v>0</v>
      </c>
      <c r="C25" s="65">
        <f>SUM(Moradia102126[Real])</f>
        <v>0</v>
      </c>
      <c r="D25" s="65">
        <f>SUM(Moradia102126[Diferença])</f>
        <v>0</v>
      </c>
      <c r="E25" s="28"/>
      <c r="F25" s="66" t="s">
        <v>5</v>
      </c>
      <c r="G25" s="65">
        <f>SUM(Lazer101125[Orçado])</f>
        <v>0</v>
      </c>
      <c r="H25" s="65">
        <f>SUM(Lazer101125[Real])</f>
        <v>0</v>
      </c>
      <c r="I25" s="65">
        <f>SUM(Lazer101125[Diferença])</f>
        <v>0</v>
      </c>
    </row>
    <row r="26" spans="1:17" ht="37.799999999999997" customHeight="1" x14ac:dyDescent="0.3">
      <c r="A26" s="18"/>
      <c r="B26" s="19"/>
    </row>
    <row r="27" spans="1:17" ht="30" customHeight="1" x14ac:dyDescent="0.3">
      <c r="A27" s="101" t="s">
        <v>7</v>
      </c>
      <c r="B27" s="101"/>
      <c r="C27" s="101"/>
      <c r="D27" s="101"/>
      <c r="E27" s="20"/>
      <c r="F27" s="75"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Saúde99123[[#This Row],[Orçado]]-Saúde99123[[#This Row],[Real]]</f>
        <v>0</v>
      </c>
      <c r="E29" s="27"/>
      <c r="F29" s="25" t="s">
        <v>8</v>
      </c>
      <c r="G29" s="26"/>
      <c r="H29" s="26"/>
      <c r="I29" s="69">
        <f>Alimentação98122[[#This Row],[Orçado]]-Alimentação98122[[#This Row],[Real]]</f>
        <v>0</v>
      </c>
    </row>
    <row r="30" spans="1:17" ht="15.6" x14ac:dyDescent="0.3">
      <c r="A30" s="25" t="s">
        <v>29</v>
      </c>
      <c r="B30" s="26"/>
      <c r="C30" s="26"/>
      <c r="D30" s="69">
        <f>Saúde99123[[#This Row],[Orçado]]-Saúde99123[[#This Row],[Real]]</f>
        <v>0</v>
      </c>
      <c r="E30" s="28"/>
      <c r="F30" s="25" t="s">
        <v>37</v>
      </c>
      <c r="G30" s="26"/>
      <c r="H30" s="26"/>
      <c r="I30" s="69">
        <f>Alimentação98122[[#This Row],[Orçado]]-Alimentação98122[[#This Row],[Real]]</f>
        <v>0</v>
      </c>
    </row>
    <row r="31" spans="1:17" ht="15.6" x14ac:dyDescent="0.3">
      <c r="A31" s="25" t="s">
        <v>35</v>
      </c>
      <c r="B31" s="26"/>
      <c r="C31" s="26"/>
      <c r="D31" s="69">
        <f>Saúde99123[[#This Row],[Orçado]]-Saúde99123[[#This Row],[Real]]</f>
        <v>0</v>
      </c>
      <c r="E31" s="28"/>
      <c r="F31" s="25"/>
      <c r="G31" s="26"/>
      <c r="H31" s="26"/>
      <c r="I31" s="69">
        <f>Alimentação98122[[#This Row],[Orçado]]-Alimentação98122[[#This Row],[Real]]</f>
        <v>0</v>
      </c>
    </row>
    <row r="32" spans="1:17" ht="15.6" x14ac:dyDescent="0.3">
      <c r="A32" s="25"/>
      <c r="B32" s="26"/>
      <c r="C32" s="26"/>
      <c r="D32" s="69">
        <f>Saúde99123[[#This Row],[Orçado]]-Saúde99123[[#This Row],[Real]]</f>
        <v>0</v>
      </c>
      <c r="E32" s="28"/>
      <c r="F32" s="25"/>
      <c r="G32" s="26"/>
      <c r="H32" s="26"/>
      <c r="I32" s="69">
        <f>Alimentação98122[[#This Row],[Orçado]]-Alimentação98122[[#This Row],[Real]]</f>
        <v>0</v>
      </c>
    </row>
    <row r="33" spans="1:11" ht="15.6" x14ac:dyDescent="0.3">
      <c r="A33" s="25"/>
      <c r="B33" s="26"/>
      <c r="C33" s="26"/>
      <c r="D33" s="69">
        <f>Saúde99123[[#This Row],[Orçado]]-Saúde99123[[#This Row],[Real]]</f>
        <v>0</v>
      </c>
      <c r="E33" s="28"/>
      <c r="F33" s="25"/>
      <c r="G33" s="26"/>
      <c r="H33" s="26"/>
      <c r="I33" s="69">
        <f>Alimentação98122[[#This Row],[Orçado]]-Alimentação98122[[#This Row],[Real]]</f>
        <v>0</v>
      </c>
    </row>
    <row r="34" spans="1:11" ht="15.6" x14ac:dyDescent="0.3">
      <c r="A34" s="25"/>
      <c r="B34" s="26"/>
      <c r="C34" s="26"/>
      <c r="D34" s="69">
        <f>Saúde99123[[#This Row],[Orçado]]-Saúde99123[[#This Row],[Real]]</f>
        <v>0</v>
      </c>
      <c r="E34" s="28"/>
      <c r="F34" s="29"/>
      <c r="G34" s="30"/>
      <c r="H34" s="30"/>
      <c r="I34" s="69">
        <f>Alimentação98122[[#This Row],[Orçado]]-Alimentação98122[[#This Row],[Real]]</f>
        <v>0</v>
      </c>
    </row>
    <row r="35" spans="1:11" ht="15.6" x14ac:dyDescent="0.3">
      <c r="A35" s="25" t="s">
        <v>4</v>
      </c>
      <c r="B35" s="26"/>
      <c r="C35" s="26"/>
      <c r="D35" s="69">
        <f>Saúde99123[[#This Row],[Orçado]]-Saúde99123[[#This Row],[Real]]</f>
        <v>0</v>
      </c>
      <c r="E35" s="28"/>
      <c r="F35" s="25" t="s">
        <v>4</v>
      </c>
      <c r="G35" s="26"/>
      <c r="H35" s="26"/>
      <c r="I35" s="69">
        <f>Alimentação98122[[#This Row],[Orçado]]-Alimentação98122[[#This Row],[Real]]</f>
        <v>0</v>
      </c>
    </row>
    <row r="36" spans="1:11" ht="18" x14ac:dyDescent="0.3">
      <c r="A36" s="66" t="s">
        <v>5</v>
      </c>
      <c r="B36" s="65">
        <f>SUM(Saúde99123[Orçado])</f>
        <v>0</v>
      </c>
      <c r="C36" s="65">
        <f>SUM(Saúde99123[Real])</f>
        <v>0</v>
      </c>
      <c r="D36" s="65">
        <f>SUM(Saúde99123[Diferença])</f>
        <v>0</v>
      </c>
      <c r="E36" s="28"/>
      <c r="F36" s="66" t="s">
        <v>5</v>
      </c>
      <c r="G36" s="65">
        <f>SUM(Alimentação98122[Orçado])</f>
        <v>0</v>
      </c>
      <c r="H36" s="65">
        <f>SUM(Alimentação98122[Real])</f>
        <v>0</v>
      </c>
      <c r="I36" s="65">
        <f>SUM(Alimentação98122[Diferença])</f>
        <v>0</v>
      </c>
    </row>
    <row r="37" spans="1:11" ht="30" customHeight="1" x14ac:dyDescent="0.3">
      <c r="A37" s="32"/>
      <c r="B37" s="33"/>
      <c r="C37" s="33"/>
      <c r="D37" s="34"/>
      <c r="E37" s="28"/>
    </row>
    <row r="38" spans="1:11" ht="30" customHeight="1" x14ac:dyDescent="0.3">
      <c r="A38" s="101" t="s">
        <v>40</v>
      </c>
      <c r="B38" s="101"/>
      <c r="C38" s="101"/>
      <c r="D38" s="101"/>
      <c r="E38" s="28"/>
      <c r="F38" s="75"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Pessoaleducacao100124[[#This Row],[Orçado]]-Pessoaleducacao100124[[#This Row],[Real]]</f>
        <v>0</v>
      </c>
      <c r="E40" s="37"/>
      <c r="F40" s="25" t="s">
        <v>30</v>
      </c>
      <c r="G40" s="26"/>
      <c r="H40" s="26"/>
      <c r="I40" s="69">
        <f>Transporte105129[[#This Row],[Orçado]]-Transporte105129[[#This Row],[Real]]</f>
        <v>0</v>
      </c>
    </row>
    <row r="41" spans="1:11" ht="15.6" x14ac:dyDescent="0.3">
      <c r="A41" s="25" t="s">
        <v>9</v>
      </c>
      <c r="B41" s="26"/>
      <c r="C41" s="26"/>
      <c r="D41" s="69">
        <f>Pessoaleducacao100124[[#This Row],[Orçado]]-Pessoaleducacao100124[[#This Row],[Real]]</f>
        <v>0</v>
      </c>
      <c r="E41" s="28"/>
      <c r="F41" s="25" t="s">
        <v>31</v>
      </c>
      <c r="G41" s="26"/>
      <c r="H41" s="26"/>
      <c r="I41" s="69">
        <f>Transporte105129[[#This Row],[Orçado]]-Transporte105129[[#This Row],[Real]]</f>
        <v>0</v>
      </c>
    </row>
    <row r="42" spans="1:11" ht="15.6" x14ac:dyDescent="0.3">
      <c r="A42" s="25" t="s">
        <v>41</v>
      </c>
      <c r="B42" s="26"/>
      <c r="C42" s="26"/>
      <c r="D42" s="69">
        <f>Pessoaleducacao100124[[#This Row],[Orçado]]-Pessoaleducacao100124[[#This Row],[Real]]</f>
        <v>0</v>
      </c>
      <c r="E42" s="28"/>
      <c r="F42" s="25" t="s">
        <v>32</v>
      </c>
      <c r="G42" s="26"/>
      <c r="H42" s="26"/>
      <c r="I42" s="69">
        <f>Transporte105129[[#This Row],[Orçado]]-Transporte105129[[#This Row],[Real]]</f>
        <v>0</v>
      </c>
    </row>
    <row r="43" spans="1:11" ht="15.6" x14ac:dyDescent="0.3">
      <c r="A43" s="25" t="s">
        <v>42</v>
      </c>
      <c r="B43" s="26"/>
      <c r="C43" s="26"/>
      <c r="D43" s="69">
        <f>Pessoaleducacao100124[[#This Row],[Orçado]]-Pessoaleducacao100124[[#This Row],[Real]]</f>
        <v>0</v>
      </c>
      <c r="E43" s="28"/>
      <c r="F43" s="25"/>
      <c r="G43" s="26"/>
      <c r="H43" s="26"/>
      <c r="I43" s="69">
        <f>Transporte105129[[#This Row],[Orçado]]-Transporte105129[[#This Row],[Real]]</f>
        <v>0</v>
      </c>
    </row>
    <row r="44" spans="1:11" ht="15.6" x14ac:dyDescent="0.3">
      <c r="A44" s="25" t="s">
        <v>43</v>
      </c>
      <c r="B44" s="26"/>
      <c r="C44" s="26"/>
      <c r="D44" s="69">
        <f>Pessoaleducacao100124[[#This Row],[Orçado]]-Pessoaleducacao100124[[#This Row],[Real]]</f>
        <v>0</v>
      </c>
      <c r="E44" s="28"/>
      <c r="F44" s="25"/>
      <c r="G44" s="26"/>
      <c r="H44" s="26"/>
      <c r="I44" s="69">
        <f>Transporte105129[[#This Row],[Orçado]]-Transporte105129[[#This Row],[Real]]</f>
        <v>0</v>
      </c>
    </row>
    <row r="45" spans="1:11" ht="15.6" x14ac:dyDescent="0.3">
      <c r="A45" s="25"/>
      <c r="B45" s="26"/>
      <c r="C45" s="26"/>
      <c r="D45" s="69">
        <f>Pessoaleducacao100124[[#This Row],[Orçado]]-Pessoaleducacao100124[[#This Row],[Real]]</f>
        <v>0</v>
      </c>
      <c r="E45" s="28"/>
      <c r="F45" s="29"/>
      <c r="G45" s="30"/>
      <c r="H45" s="30"/>
      <c r="I45" s="69">
        <f>Transporte105129[[#This Row],[Orçado]]-Transporte105129[[#This Row],[Real]]</f>
        <v>0</v>
      </c>
      <c r="J45" s="38"/>
      <c r="K45" s="38"/>
    </row>
    <row r="46" spans="1:11" ht="15.6" x14ac:dyDescent="0.3">
      <c r="A46" s="39" t="s">
        <v>4</v>
      </c>
      <c r="B46" s="40"/>
      <c r="C46" s="40"/>
      <c r="D46" s="69">
        <f>Pessoaleducacao100124[[#This Row],[Orçado]]-Pessoaleducacao100124[[#This Row],[Real]]</f>
        <v>0</v>
      </c>
      <c r="E46" s="28"/>
      <c r="F46" s="25" t="s">
        <v>4</v>
      </c>
      <c r="G46" s="26"/>
      <c r="H46" s="26"/>
      <c r="I46" s="69">
        <f>Transporte105129[[#This Row],[Orçado]]-Transporte105129[[#This Row],[Real]]</f>
        <v>0</v>
      </c>
      <c r="J46" s="38"/>
      <c r="K46" s="38"/>
    </row>
    <row r="47" spans="1:11" ht="18" x14ac:dyDescent="0.3">
      <c r="A47" s="66" t="s">
        <v>5</v>
      </c>
      <c r="B47" s="65">
        <f>SUM(Pessoaleducacao100124[Orçado])</f>
        <v>0</v>
      </c>
      <c r="C47" s="65">
        <f>SUM(Pessoaleducacao100124[Real])</f>
        <v>0</v>
      </c>
      <c r="D47" s="65">
        <f>SUM(Pessoaleducacao100124[Diferença])</f>
        <v>0</v>
      </c>
      <c r="E47" s="28"/>
      <c r="F47" s="66" t="s">
        <v>5</v>
      </c>
      <c r="G47" s="65">
        <f>SUM(Transporte105129[Orçado])</f>
        <v>0</v>
      </c>
      <c r="H47" s="65">
        <f>SUM(Transporte105129[Real])</f>
        <v>0</v>
      </c>
      <c r="I47" s="65">
        <f>SUM(Transporte105129[Diferença])</f>
        <v>0</v>
      </c>
      <c r="J47" s="38"/>
      <c r="K47" s="38"/>
    </row>
    <row r="48" spans="1:11" s="31" customFormat="1" ht="30" customHeight="1" x14ac:dyDescent="0.3">
      <c r="A48" s="99"/>
      <c r="B48" s="99"/>
      <c r="C48" s="99"/>
      <c r="D48" s="99"/>
      <c r="E48" s="37"/>
      <c r="F48" s="5"/>
      <c r="G48" s="5"/>
      <c r="H48" s="5"/>
      <c r="I48" s="5"/>
    </row>
    <row r="49" spans="1:9" ht="30" customHeight="1" x14ac:dyDescent="0.3">
      <c r="A49" s="75" t="s">
        <v>11</v>
      </c>
      <c r="B49" s="68"/>
      <c r="C49" s="68"/>
      <c r="D49" s="68"/>
      <c r="E49" s="28"/>
      <c r="F49" s="75"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Investimentos104128[[#This Row],[Orçado]]-Investimentos104128[[#This Row],[Real]]</f>
        <v>0</v>
      </c>
      <c r="E51" s="28"/>
      <c r="F51" s="35" t="s">
        <v>38</v>
      </c>
      <c r="G51" s="36"/>
      <c r="H51" s="36"/>
      <c r="I51" s="69">
        <f>Outros103127[[#This Row],[Orçado]]-Outros103127[[#This Row],[Real]]</f>
        <v>0</v>
      </c>
    </row>
    <row r="52" spans="1:9" ht="15.6" customHeight="1" x14ac:dyDescent="0.3">
      <c r="A52" s="25" t="s">
        <v>20</v>
      </c>
      <c r="B52" s="30"/>
      <c r="C52" s="30"/>
      <c r="D52" s="69">
        <f>Investimentos104128[[#This Row],[Orçado]]-Investimentos104128[[#This Row],[Real]]</f>
        <v>0</v>
      </c>
      <c r="E52" s="28"/>
      <c r="F52" s="25" t="s">
        <v>39</v>
      </c>
      <c r="G52" s="30"/>
      <c r="H52" s="30"/>
      <c r="I52" s="69">
        <f>Outros103127[[#This Row],[Orçado]]-Outros103127[[#This Row],[Real]]</f>
        <v>0</v>
      </c>
    </row>
    <row r="53" spans="1:9" ht="15.6" customHeight="1" x14ac:dyDescent="0.3">
      <c r="A53" s="25" t="s">
        <v>11</v>
      </c>
      <c r="B53" s="30"/>
      <c r="C53" s="30"/>
      <c r="D53" s="69">
        <f>Investimentos104128[[#This Row],[Orçado]]-Investimentos104128[[#This Row],[Real]]</f>
        <v>0</v>
      </c>
      <c r="E53" s="28"/>
      <c r="F53" s="25"/>
      <c r="G53" s="30"/>
      <c r="H53" s="30"/>
      <c r="I53" s="69">
        <f>Outros103127[[#This Row],[Orçado]]-Outros103127[[#This Row],[Real]]</f>
        <v>0</v>
      </c>
    </row>
    <row r="54" spans="1:9" ht="15.6" customHeight="1" x14ac:dyDescent="0.3">
      <c r="A54" s="25"/>
      <c r="B54" s="26"/>
      <c r="C54" s="26"/>
      <c r="D54" s="69">
        <f>Investimentos104128[[#This Row],[Orçado]]-Investimentos104128[[#This Row],[Real]]</f>
        <v>0</v>
      </c>
      <c r="E54" s="28"/>
      <c r="F54" s="25"/>
      <c r="G54" s="26"/>
      <c r="H54" s="26"/>
      <c r="I54" s="69">
        <f>Outros103127[[#This Row],[Orçado]]-Outros103127[[#This Row],[Real]]</f>
        <v>0</v>
      </c>
    </row>
    <row r="55" spans="1:9" s="31" customFormat="1" ht="15.6" customHeight="1" x14ac:dyDescent="0.3">
      <c r="A55" s="29"/>
      <c r="B55" s="30"/>
      <c r="C55" s="30"/>
      <c r="D55" s="69">
        <f>Investimentos104128[[#This Row],[Orçado]]-Investimentos104128[[#This Row],[Real]]</f>
        <v>0</v>
      </c>
      <c r="E55" s="37"/>
      <c r="F55" s="29"/>
      <c r="G55" s="30"/>
      <c r="H55" s="30"/>
      <c r="I55" s="69">
        <f>Outros103127[[#This Row],[Orçado]]-Outros103127[[#This Row],[Real]]</f>
        <v>0</v>
      </c>
    </row>
    <row r="56" spans="1:9" s="31" customFormat="1" ht="15.6" x14ac:dyDescent="0.3">
      <c r="A56" s="29"/>
      <c r="B56" s="30"/>
      <c r="C56" s="30"/>
      <c r="D56" s="69">
        <f>Investimentos104128[[#This Row],[Orçado]]-Investimentos104128[[#This Row],[Real]]</f>
        <v>0</v>
      </c>
      <c r="E56" s="37"/>
      <c r="F56" s="29"/>
      <c r="G56" s="30"/>
      <c r="H56" s="30"/>
      <c r="I56" s="69">
        <f>Outros103127[[#This Row],[Orçado]]-Outros103127[[#This Row],[Real]]</f>
        <v>0</v>
      </c>
    </row>
    <row r="57" spans="1:9" s="31" customFormat="1" ht="15.6" x14ac:dyDescent="0.3">
      <c r="A57" s="25" t="s">
        <v>4</v>
      </c>
      <c r="B57" s="26"/>
      <c r="C57" s="26"/>
      <c r="D57" s="69">
        <f>Investimentos104128[[#This Row],[Orçado]]-Investimentos104128[[#This Row],[Real]]</f>
        <v>0</v>
      </c>
      <c r="E57" s="37"/>
      <c r="F57" s="25" t="s">
        <v>4</v>
      </c>
      <c r="G57" s="26"/>
      <c r="H57" s="26"/>
      <c r="I57" s="69">
        <f>Outros103127[[#This Row],[Orçado]]-Outros103127[[#This Row],[Real]]</f>
        <v>0</v>
      </c>
    </row>
    <row r="58" spans="1:9" ht="18" x14ac:dyDescent="0.3">
      <c r="A58" s="64" t="s">
        <v>5</v>
      </c>
      <c r="B58" s="65">
        <f>SUM(Investimentos104128[Orçado])</f>
        <v>0</v>
      </c>
      <c r="C58" s="65">
        <f>SUM(Investimentos104128[Real])</f>
        <v>0</v>
      </c>
      <c r="D58" s="65">
        <f>SUM(Investimentos104128[Diferença])</f>
        <v>0</v>
      </c>
      <c r="E58" s="28"/>
      <c r="F58" s="64" t="s">
        <v>5</v>
      </c>
      <c r="G58" s="65">
        <f>SUM(Outros103127[Orçado])</f>
        <v>0</v>
      </c>
      <c r="H58" s="65">
        <f>SUM(Outros103127[Real])</f>
        <v>0</v>
      </c>
      <c r="I58" s="65">
        <f>SUM(Outros103127[Diferença])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IQgj1pb4+9xJXTu1Z1T+3P9Zj22msIoEeLMSv7yb8xN+hp9pP7fEp8ne6tColw4OQjjxRHY5y7unln089PhM2g==" saltValue="EClN1O1ybQ1qDZ8RLIcDMA==" spinCount="100000" sheet="1" objects="1" scenarios="1" selectLockedCells="1"/>
  <mergeCells count="17">
    <mergeCell ref="A48:D48"/>
    <mergeCell ref="A61:D61"/>
    <mergeCell ref="F6:F7"/>
    <mergeCell ref="A38:D38"/>
    <mergeCell ref="H2:I2"/>
    <mergeCell ref="A16:D16"/>
    <mergeCell ref="A2:G2"/>
    <mergeCell ref="A4:B4"/>
    <mergeCell ref="A27:D27"/>
    <mergeCell ref="A11:B11"/>
    <mergeCell ref="D12:F13"/>
    <mergeCell ref="G12:G13"/>
    <mergeCell ref="D6:E7"/>
    <mergeCell ref="D8:E9"/>
    <mergeCell ref="F8:F9"/>
    <mergeCell ref="H4:I10"/>
    <mergeCell ref="H13:I15"/>
  </mergeCells>
  <conditionalFormatting sqref="J6:J9">
    <cfRule type="containsText" dxfId="927" priority="5" operator="containsText" text="Atenção! Cuidado com sua saúde financeira">
      <formula>NOT(ISERROR(SEARCH("Atenção! Cuidado com sua saúde financeira",J6)))</formula>
    </cfRule>
  </conditionalFormatting>
  <conditionalFormatting sqref="C14">
    <cfRule type="containsText" dxfId="926" priority="3" operator="containsText" text="Você está dentro do orçamento">
      <formula>NOT(ISERROR(SEARCH("Você está dentro do orçamento",C14)))</formula>
    </cfRule>
    <cfRule type="containsText" dxfId="925" priority="4" operator="containsText" text="Você está fora do orçamento">
      <formula>NOT(ISERROR(SEARCH("Você está fora do orçamento",C14)))</formula>
    </cfRule>
  </conditionalFormatting>
  <conditionalFormatting sqref="H4 J4:L10">
    <cfRule type="containsText" dxfId="924"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923" priority="1" stopIfTrue="1" operator="containsText" text="Atenção! Cuidado com sua saúde financeira">
      <formula>NOT(ISERROR(SEARCH("Atenção! Cuidado com sua saúde financeira",H4)))</formula>
    </cfRule>
    <cfRule type="containsText" dxfId="922"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B9" unlockedFormula="1"/>
  </ignoredErrors>
  <drawing r:id="rId2"/>
  <tableParts count="8">
    <tablePart r:id="rId3"/>
    <tablePart r:id="rId4"/>
    <tablePart r:id="rId5"/>
    <tablePart r:id="rId6"/>
    <tablePart r:id="rId7"/>
    <tablePart r:id="rId8"/>
    <tablePart r:id="rId9"/>
    <tablePart r:id="rId10"/>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9A7C5-A13E-4A41-AB3F-609349B5CB12}">
  <sheetPr>
    <tabColor theme="5" tint="0.79998168889431442"/>
    <pageSetUpPr autoPageBreaks="0" fitToPage="1"/>
  </sheetPr>
  <dimension ref="A1:Q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7" s="13" customFormat="1" ht="19.95" customHeight="1" x14ac:dyDescent="0.45">
      <c r="A1" s="12">
        <f ca="1">NOW()</f>
        <v>44791.47886412037</v>
      </c>
    </row>
    <row r="2" spans="1:17" s="13" customFormat="1" ht="94.8" customHeight="1" x14ac:dyDescent="0.3">
      <c r="A2" s="92" t="s">
        <v>61</v>
      </c>
      <c r="B2" s="92"/>
      <c r="C2" s="92"/>
      <c r="D2" s="92"/>
      <c r="E2" s="92"/>
      <c r="F2" s="92"/>
      <c r="G2" s="92"/>
      <c r="H2" s="84"/>
      <c r="I2" s="85"/>
      <c r="J2" s="77"/>
      <c r="K2" s="77"/>
      <c r="L2" s="77"/>
    </row>
    <row r="3" spans="1:17" s="15" customFormat="1" ht="15" customHeight="1" x14ac:dyDescent="0.3"/>
    <row r="4" spans="1:17"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row>
    <row r="5" spans="1:17" s="15" customFormat="1" ht="15.6" customHeight="1" x14ac:dyDescent="0.3">
      <c r="A5" s="6" t="s">
        <v>12</v>
      </c>
      <c r="B5" s="7">
        <v>100</v>
      </c>
      <c r="H5" s="91"/>
      <c r="I5" s="91"/>
      <c r="K5" s="76" t="str">
        <f>IF(I8&gt;0,"Parabéns! Invista na Mais Previdência", IF(I8&lt;0,"Atenção! Cuidado com sua saúde financeira.",""))</f>
        <v/>
      </c>
      <c r="L5" s="76"/>
    </row>
    <row r="6" spans="1:17" s="15" customFormat="1" ht="15.6" customHeight="1" x14ac:dyDescent="0.3">
      <c r="A6" s="8" t="s">
        <v>0</v>
      </c>
      <c r="B6" s="9">
        <v>10</v>
      </c>
      <c r="D6" s="93" t="s">
        <v>49</v>
      </c>
      <c r="E6" s="93"/>
      <c r="F6" s="88">
        <f>B9-B12</f>
        <v>220</v>
      </c>
      <c r="H6" s="91"/>
      <c r="I6" s="91"/>
      <c r="J6" s="62"/>
      <c r="K6" s="76"/>
      <c r="L6" s="76"/>
    </row>
    <row r="7" spans="1:17" s="15" customFormat="1" ht="15.6" customHeight="1" x14ac:dyDescent="0.3">
      <c r="A7" s="8" t="s">
        <v>13</v>
      </c>
      <c r="B7" s="9">
        <v>10</v>
      </c>
      <c r="D7" s="93"/>
      <c r="E7" s="93"/>
      <c r="F7" s="88"/>
      <c r="H7" s="91"/>
      <c r="I7" s="91"/>
      <c r="J7" s="62"/>
      <c r="K7" s="76"/>
      <c r="L7" s="76"/>
    </row>
    <row r="8" spans="1:17" s="15" customFormat="1" ht="15.6" customHeight="1" x14ac:dyDescent="0.3">
      <c r="A8" s="8" t="s">
        <v>14</v>
      </c>
      <c r="B8" s="9">
        <v>100</v>
      </c>
      <c r="D8" s="94" t="s">
        <v>50</v>
      </c>
      <c r="E8" s="94"/>
      <c r="F8" s="95">
        <f>B9-B13</f>
        <v>220</v>
      </c>
      <c r="H8" s="91"/>
      <c r="I8" s="91"/>
      <c r="J8" s="62"/>
      <c r="K8" s="76"/>
      <c r="L8" s="76"/>
    </row>
    <row r="9" spans="1:17" s="15" customFormat="1" ht="18" customHeight="1" x14ac:dyDescent="0.3">
      <c r="A9" s="10" t="s">
        <v>1</v>
      </c>
      <c r="B9" s="11">
        <f>SUM(B5:B8)</f>
        <v>220</v>
      </c>
      <c r="D9" s="94"/>
      <c r="E9" s="94"/>
      <c r="F9" s="95"/>
      <c r="G9" s="60"/>
      <c r="H9" s="91"/>
      <c r="I9" s="91"/>
      <c r="J9" s="62"/>
      <c r="K9" s="76"/>
      <c r="L9" s="76"/>
    </row>
    <row r="10" spans="1:17" s="15" customFormat="1" ht="30" customHeight="1" x14ac:dyDescent="0.3">
      <c r="A10" s="5"/>
      <c r="B10" s="5"/>
      <c r="D10" s="61"/>
      <c r="E10" s="61"/>
      <c r="F10" s="61"/>
      <c r="G10" s="60"/>
      <c r="H10" s="91"/>
      <c r="I10" s="91"/>
      <c r="J10" s="17"/>
      <c r="K10" s="76"/>
      <c r="L10" s="76"/>
    </row>
    <row r="11" spans="1:17" s="15" customFormat="1" ht="30" customHeight="1" x14ac:dyDescent="0.3">
      <c r="A11" s="86" t="s">
        <v>48</v>
      </c>
      <c r="B11" s="87"/>
      <c r="C11" s="16"/>
      <c r="D11" s="61"/>
      <c r="E11" s="61"/>
      <c r="F11" s="61"/>
      <c r="G11" s="60"/>
      <c r="I11" s="79"/>
      <c r="J11" s="79"/>
      <c r="K11" s="79"/>
      <c r="L11" s="79"/>
    </row>
    <row r="12" spans="1:17" s="15" customFormat="1" ht="15.6" customHeight="1" x14ac:dyDescent="0.3">
      <c r="A12" s="73" t="s">
        <v>16</v>
      </c>
      <c r="B12" s="72">
        <f>SUM(Moradia102134[Orçado],Lazer101133[Orçado],Saúde99131[Orçado],Alimentação98130[Orçado],Pessoaleducacao100132[Orçado],Transporte105137[Orçado],Investimentos104136[Orçado],Outros103135[Orçado])</f>
        <v>0</v>
      </c>
      <c r="D12" s="100"/>
      <c r="E12" s="100"/>
      <c r="F12" s="100"/>
      <c r="G12" s="89"/>
      <c r="H12" s="79"/>
      <c r="I12" s="79"/>
      <c r="J12" s="79"/>
      <c r="K12" s="79"/>
      <c r="L12" s="79"/>
    </row>
    <row r="13" spans="1:17" s="15" customFormat="1" ht="15.6" customHeight="1" x14ac:dyDescent="0.3">
      <c r="A13" s="74" t="s">
        <v>17</v>
      </c>
      <c r="B13" s="69">
        <f>SUM(Moradia102134[Real],Lazer101133[Real],Saúde99131[Real],Alimentação98130[Real],Pessoaleducacao100132[Real],Transporte105137[Real],Investimentos104136[Real],Outros103135[Real])</f>
        <v>0</v>
      </c>
      <c r="D13" s="100"/>
      <c r="E13" s="100"/>
      <c r="F13" s="100"/>
      <c r="G13" s="89"/>
      <c r="H13" s="84" t="s">
        <v>68</v>
      </c>
      <c r="I13" s="84"/>
      <c r="J13" s="79"/>
      <c r="K13" s="79"/>
      <c r="L13" s="79"/>
    </row>
    <row r="14" spans="1:17" s="15" customFormat="1" ht="18" x14ac:dyDescent="0.3">
      <c r="A14" s="70" t="s">
        <v>10</v>
      </c>
      <c r="B14" s="63">
        <f>B12-B13</f>
        <v>0</v>
      </c>
      <c r="C14" s="71" t="str">
        <f>IF(B14&gt;0,"Você está dentro do orçamento", IF(B14&lt;0,"Você está fora do orçamento",""))</f>
        <v/>
      </c>
      <c r="H14" s="84"/>
      <c r="I14" s="84"/>
    </row>
    <row r="15" spans="1:17" ht="37.799999999999997" customHeight="1" x14ac:dyDescent="0.3">
      <c r="A15" s="18"/>
      <c r="B15" s="19"/>
      <c r="H15" s="84"/>
      <c r="I15" s="84"/>
    </row>
    <row r="16" spans="1:17" ht="30" customHeight="1" x14ac:dyDescent="0.3">
      <c r="A16" s="101" t="s">
        <v>2</v>
      </c>
      <c r="B16" s="101"/>
      <c r="C16" s="101"/>
      <c r="D16" s="101"/>
      <c r="E16" s="20"/>
      <c r="F16" s="75"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Moradia102134[[#This Row],[Orçado]]-Moradia102134[[#This Row],[Real]]</f>
        <v>0</v>
      </c>
      <c r="E18" s="27"/>
      <c r="F18" s="25" t="s">
        <v>26</v>
      </c>
      <c r="G18" s="26"/>
      <c r="H18" s="26"/>
      <c r="I18" s="69">
        <f>Lazer101133[[#This Row],[Orçado]]-Lazer101133[[#This Row],[Real]]</f>
        <v>0</v>
      </c>
      <c r="M18" s="78"/>
      <c r="N18" s="78"/>
      <c r="O18" s="78"/>
      <c r="P18" s="78"/>
      <c r="Q18" s="78"/>
    </row>
    <row r="19" spans="1:17" ht="15.6" x14ac:dyDescent="0.3">
      <c r="A19" s="25" t="s">
        <v>22</v>
      </c>
      <c r="B19" s="26"/>
      <c r="C19" s="26"/>
      <c r="D19" s="69">
        <f>Moradia102134[[#This Row],[Orçado]]-Moradia102134[[#This Row],[Real]]</f>
        <v>0</v>
      </c>
      <c r="E19" s="28"/>
      <c r="F19" s="25" t="s">
        <v>27</v>
      </c>
      <c r="G19" s="26"/>
      <c r="H19" s="26"/>
      <c r="I19" s="69">
        <f>Lazer101133[[#This Row],[Orçado]]-Lazer101133[[#This Row],[Real]]</f>
        <v>0</v>
      </c>
      <c r="M19" s="78"/>
      <c r="N19" s="78"/>
      <c r="O19" s="78"/>
      <c r="P19" s="78"/>
      <c r="Q19" s="78"/>
    </row>
    <row r="20" spans="1:17" ht="15.6" x14ac:dyDescent="0.3">
      <c r="A20" s="25" t="s">
        <v>23</v>
      </c>
      <c r="B20" s="26"/>
      <c r="C20" s="26"/>
      <c r="D20" s="69">
        <f>Moradia102134[[#This Row],[Orçado]]-Moradia102134[[#This Row],[Real]]</f>
        <v>0</v>
      </c>
      <c r="E20" s="28"/>
      <c r="F20" s="25" t="s">
        <v>34</v>
      </c>
      <c r="G20" s="26"/>
      <c r="H20" s="26"/>
      <c r="I20" s="69">
        <f>Lazer101133[[#This Row],[Orçado]]-Lazer101133[[#This Row],[Real]]</f>
        <v>0</v>
      </c>
      <c r="M20" s="78"/>
      <c r="N20" s="78"/>
      <c r="O20" s="78"/>
      <c r="P20" s="78"/>
      <c r="Q20" s="78"/>
    </row>
    <row r="21" spans="1:17" ht="15.6" x14ac:dyDescent="0.3">
      <c r="A21" s="25" t="s">
        <v>24</v>
      </c>
      <c r="B21" s="26"/>
      <c r="C21" s="26"/>
      <c r="D21" s="69">
        <f>Moradia102134[[#This Row],[Orçado]]-Moradia102134[[#This Row],[Real]]</f>
        <v>0</v>
      </c>
      <c r="E21" s="28"/>
      <c r="F21" s="25"/>
      <c r="G21" s="26"/>
      <c r="H21" s="26"/>
      <c r="I21" s="69">
        <f>Lazer101133[[#This Row],[Orçado]]-Lazer101133[[#This Row],[Real]]</f>
        <v>0</v>
      </c>
    </row>
    <row r="22" spans="1:17" ht="15.6" x14ac:dyDescent="0.3">
      <c r="A22" s="25" t="s">
        <v>25</v>
      </c>
      <c r="B22" s="26"/>
      <c r="C22" s="26"/>
      <c r="D22" s="69">
        <f>Moradia102134[[#This Row],[Orçado]]-Moradia102134[[#This Row],[Real]]</f>
        <v>0</v>
      </c>
      <c r="E22" s="28"/>
      <c r="F22" s="25"/>
      <c r="G22" s="26"/>
      <c r="H22" s="26"/>
      <c r="I22" s="69">
        <f>Lazer101133[[#This Row],[Orçado]]-Lazer101133[[#This Row],[Real]]</f>
        <v>0</v>
      </c>
    </row>
    <row r="23" spans="1:17" ht="15.6" x14ac:dyDescent="0.3">
      <c r="A23" s="25"/>
      <c r="B23" s="26"/>
      <c r="C23" s="26"/>
      <c r="D23" s="69">
        <f>Moradia102134[[#This Row],[Orçado]]-Moradia102134[[#This Row],[Real]]</f>
        <v>0</v>
      </c>
      <c r="E23" s="28"/>
      <c r="F23" s="29"/>
      <c r="G23" s="30"/>
      <c r="H23" s="30"/>
      <c r="I23" s="69">
        <f>Lazer101133[[#This Row],[Orçado]]-Lazer101133[[#This Row],[Real]]</f>
        <v>0</v>
      </c>
    </row>
    <row r="24" spans="1:17" ht="15.6" x14ac:dyDescent="0.3">
      <c r="A24" s="25" t="s">
        <v>4</v>
      </c>
      <c r="B24" s="26"/>
      <c r="C24" s="26"/>
      <c r="D24" s="69">
        <f>Moradia102134[[#This Row],[Orçado]]-Moradia102134[[#This Row],[Real]]</f>
        <v>0</v>
      </c>
      <c r="E24" s="28"/>
      <c r="F24" s="25" t="s">
        <v>4</v>
      </c>
      <c r="G24" s="26"/>
      <c r="H24" s="26"/>
      <c r="I24" s="69">
        <f>Lazer101133[[#This Row],[Orçado]]-Lazer101133[[#This Row],[Real]]</f>
        <v>0</v>
      </c>
    </row>
    <row r="25" spans="1:17" ht="18" x14ac:dyDescent="0.3">
      <c r="A25" s="66" t="s">
        <v>5</v>
      </c>
      <c r="B25" s="65">
        <f>SUM(Moradia102134[Orçado])</f>
        <v>0</v>
      </c>
      <c r="C25" s="65">
        <f>SUM(Moradia102134[Real])</f>
        <v>0</v>
      </c>
      <c r="D25" s="65">
        <f>SUM(Moradia102134[Diferença])</f>
        <v>0</v>
      </c>
      <c r="E25" s="28"/>
      <c r="F25" s="66" t="s">
        <v>5</v>
      </c>
      <c r="G25" s="65">
        <f>SUM(Lazer101133[Orçado])</f>
        <v>0</v>
      </c>
      <c r="H25" s="65">
        <f>SUM(Lazer101133[Real])</f>
        <v>0</v>
      </c>
      <c r="I25" s="65">
        <f>SUM(Lazer101133[Diferença])</f>
        <v>0</v>
      </c>
    </row>
    <row r="26" spans="1:17" ht="37.799999999999997" customHeight="1" x14ac:dyDescent="0.3">
      <c r="A26" s="18"/>
      <c r="B26" s="19"/>
    </row>
    <row r="27" spans="1:17" ht="30" customHeight="1" x14ac:dyDescent="0.3">
      <c r="A27" s="101" t="s">
        <v>7</v>
      </c>
      <c r="B27" s="101"/>
      <c r="C27" s="101"/>
      <c r="D27" s="101"/>
      <c r="E27" s="20"/>
      <c r="F27" s="75"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Saúde99131[[#This Row],[Orçado]]-Saúde99131[[#This Row],[Real]]</f>
        <v>0</v>
      </c>
      <c r="E29" s="27"/>
      <c r="F29" s="25" t="s">
        <v>8</v>
      </c>
      <c r="G29" s="26"/>
      <c r="H29" s="26"/>
      <c r="I29" s="69">
        <f>Alimentação98130[[#This Row],[Orçado]]-Alimentação98130[[#This Row],[Real]]</f>
        <v>0</v>
      </c>
    </row>
    <row r="30" spans="1:17" ht="15.6" x14ac:dyDescent="0.3">
      <c r="A30" s="25" t="s">
        <v>29</v>
      </c>
      <c r="B30" s="26"/>
      <c r="C30" s="26"/>
      <c r="D30" s="69">
        <f>Saúde99131[[#This Row],[Orçado]]-Saúde99131[[#This Row],[Real]]</f>
        <v>0</v>
      </c>
      <c r="E30" s="28"/>
      <c r="F30" s="25" t="s">
        <v>37</v>
      </c>
      <c r="G30" s="26"/>
      <c r="H30" s="26"/>
      <c r="I30" s="69">
        <f>Alimentação98130[[#This Row],[Orçado]]-Alimentação98130[[#This Row],[Real]]</f>
        <v>0</v>
      </c>
    </row>
    <row r="31" spans="1:17" ht="15.6" x14ac:dyDescent="0.3">
      <c r="A31" s="25" t="s">
        <v>35</v>
      </c>
      <c r="B31" s="26"/>
      <c r="C31" s="26"/>
      <c r="D31" s="69">
        <f>Saúde99131[[#This Row],[Orçado]]-Saúde99131[[#This Row],[Real]]</f>
        <v>0</v>
      </c>
      <c r="E31" s="28"/>
      <c r="F31" s="25"/>
      <c r="G31" s="26"/>
      <c r="H31" s="26"/>
      <c r="I31" s="69">
        <f>Alimentação98130[[#This Row],[Orçado]]-Alimentação98130[[#This Row],[Real]]</f>
        <v>0</v>
      </c>
    </row>
    <row r="32" spans="1:17" ht="15.6" x14ac:dyDescent="0.3">
      <c r="A32" s="25"/>
      <c r="B32" s="26"/>
      <c r="C32" s="26"/>
      <c r="D32" s="69">
        <f>Saúde99131[[#This Row],[Orçado]]-Saúde99131[[#This Row],[Real]]</f>
        <v>0</v>
      </c>
      <c r="E32" s="28"/>
      <c r="F32" s="25"/>
      <c r="G32" s="26"/>
      <c r="H32" s="26"/>
      <c r="I32" s="69">
        <f>Alimentação98130[[#This Row],[Orçado]]-Alimentação98130[[#This Row],[Real]]</f>
        <v>0</v>
      </c>
    </row>
    <row r="33" spans="1:11" ht="15.6" x14ac:dyDescent="0.3">
      <c r="A33" s="25"/>
      <c r="B33" s="26"/>
      <c r="C33" s="26"/>
      <c r="D33" s="69">
        <f>Saúde99131[[#This Row],[Orçado]]-Saúde99131[[#This Row],[Real]]</f>
        <v>0</v>
      </c>
      <c r="E33" s="28"/>
      <c r="F33" s="25"/>
      <c r="G33" s="26"/>
      <c r="H33" s="26"/>
      <c r="I33" s="69">
        <f>Alimentação98130[[#This Row],[Orçado]]-Alimentação98130[[#This Row],[Real]]</f>
        <v>0</v>
      </c>
    </row>
    <row r="34" spans="1:11" ht="15.6" x14ac:dyDescent="0.3">
      <c r="A34" s="25"/>
      <c r="B34" s="26"/>
      <c r="C34" s="26"/>
      <c r="D34" s="69">
        <f>Saúde99131[[#This Row],[Orçado]]-Saúde99131[[#This Row],[Real]]</f>
        <v>0</v>
      </c>
      <c r="E34" s="28"/>
      <c r="F34" s="29"/>
      <c r="G34" s="30"/>
      <c r="H34" s="30"/>
      <c r="I34" s="69">
        <f>Alimentação98130[[#This Row],[Orçado]]-Alimentação98130[[#This Row],[Real]]</f>
        <v>0</v>
      </c>
    </row>
    <row r="35" spans="1:11" ht="15.6" x14ac:dyDescent="0.3">
      <c r="A35" s="25" t="s">
        <v>4</v>
      </c>
      <c r="B35" s="26"/>
      <c r="C35" s="26"/>
      <c r="D35" s="69">
        <f>Saúde99131[[#This Row],[Orçado]]-Saúde99131[[#This Row],[Real]]</f>
        <v>0</v>
      </c>
      <c r="E35" s="28"/>
      <c r="F35" s="25" t="s">
        <v>4</v>
      </c>
      <c r="G35" s="26"/>
      <c r="H35" s="26"/>
      <c r="I35" s="69">
        <f>Alimentação98130[[#This Row],[Orçado]]-Alimentação98130[[#This Row],[Real]]</f>
        <v>0</v>
      </c>
    </row>
    <row r="36" spans="1:11" ht="18" x14ac:dyDescent="0.3">
      <c r="A36" s="66" t="s">
        <v>5</v>
      </c>
      <c r="B36" s="65">
        <f>SUM(Saúde99131[Orçado])</f>
        <v>0</v>
      </c>
      <c r="C36" s="65">
        <f>SUM(Saúde99131[Real])</f>
        <v>0</v>
      </c>
      <c r="D36" s="65">
        <f>SUM(Saúde99131[Diferença])</f>
        <v>0</v>
      </c>
      <c r="E36" s="28"/>
      <c r="F36" s="66" t="s">
        <v>5</v>
      </c>
      <c r="G36" s="65">
        <f>SUM(Alimentação98130[Orçado])</f>
        <v>0</v>
      </c>
      <c r="H36" s="65">
        <f>SUM(Alimentação98130[Real])</f>
        <v>0</v>
      </c>
      <c r="I36" s="65">
        <f>SUM(Alimentação98130[Diferença])</f>
        <v>0</v>
      </c>
    </row>
    <row r="37" spans="1:11" ht="30" customHeight="1" x14ac:dyDescent="0.3">
      <c r="A37" s="32"/>
      <c r="B37" s="33"/>
      <c r="C37" s="33"/>
      <c r="D37" s="34"/>
      <c r="E37" s="28"/>
    </row>
    <row r="38" spans="1:11" ht="30" customHeight="1" x14ac:dyDescent="0.3">
      <c r="A38" s="101" t="s">
        <v>40</v>
      </c>
      <c r="B38" s="101"/>
      <c r="C38" s="101"/>
      <c r="D38" s="101"/>
      <c r="E38" s="28"/>
      <c r="F38" s="75"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Pessoaleducacao100132[[#This Row],[Orçado]]-Pessoaleducacao100132[[#This Row],[Real]]</f>
        <v>0</v>
      </c>
      <c r="E40" s="37"/>
      <c r="F40" s="25" t="s">
        <v>30</v>
      </c>
      <c r="G40" s="26"/>
      <c r="H40" s="26"/>
      <c r="I40" s="69">
        <f>Transporte105137[[#This Row],[Orçado]]-Transporte105137[[#This Row],[Real]]</f>
        <v>0</v>
      </c>
    </row>
    <row r="41" spans="1:11" ht="15.6" x14ac:dyDescent="0.3">
      <c r="A41" s="25" t="s">
        <v>9</v>
      </c>
      <c r="B41" s="26"/>
      <c r="C41" s="26"/>
      <c r="D41" s="69">
        <f>Pessoaleducacao100132[[#This Row],[Orçado]]-Pessoaleducacao100132[[#This Row],[Real]]</f>
        <v>0</v>
      </c>
      <c r="E41" s="28"/>
      <c r="F41" s="25" t="s">
        <v>31</v>
      </c>
      <c r="G41" s="26"/>
      <c r="H41" s="26"/>
      <c r="I41" s="69">
        <f>Transporte105137[[#This Row],[Orçado]]-Transporte105137[[#This Row],[Real]]</f>
        <v>0</v>
      </c>
    </row>
    <row r="42" spans="1:11" ht="15.6" x14ac:dyDescent="0.3">
      <c r="A42" s="25" t="s">
        <v>41</v>
      </c>
      <c r="B42" s="26"/>
      <c r="C42" s="26"/>
      <c r="D42" s="69">
        <f>Pessoaleducacao100132[[#This Row],[Orçado]]-Pessoaleducacao100132[[#This Row],[Real]]</f>
        <v>0</v>
      </c>
      <c r="E42" s="28"/>
      <c r="F42" s="25" t="s">
        <v>32</v>
      </c>
      <c r="G42" s="26"/>
      <c r="H42" s="26"/>
      <c r="I42" s="69">
        <f>Transporte105137[[#This Row],[Orçado]]-Transporte105137[[#This Row],[Real]]</f>
        <v>0</v>
      </c>
    </row>
    <row r="43" spans="1:11" ht="15.6" x14ac:dyDescent="0.3">
      <c r="A43" s="25" t="s">
        <v>42</v>
      </c>
      <c r="B43" s="26"/>
      <c r="C43" s="26"/>
      <c r="D43" s="69">
        <f>Pessoaleducacao100132[[#This Row],[Orçado]]-Pessoaleducacao100132[[#This Row],[Real]]</f>
        <v>0</v>
      </c>
      <c r="E43" s="28"/>
      <c r="F43" s="25"/>
      <c r="G43" s="26"/>
      <c r="H43" s="26"/>
      <c r="I43" s="69">
        <f>Transporte105137[[#This Row],[Orçado]]-Transporte105137[[#This Row],[Real]]</f>
        <v>0</v>
      </c>
    </row>
    <row r="44" spans="1:11" ht="15.6" x14ac:dyDescent="0.3">
      <c r="A44" s="25" t="s">
        <v>43</v>
      </c>
      <c r="B44" s="26"/>
      <c r="C44" s="26"/>
      <c r="D44" s="69">
        <f>Pessoaleducacao100132[[#This Row],[Orçado]]-Pessoaleducacao100132[[#This Row],[Real]]</f>
        <v>0</v>
      </c>
      <c r="E44" s="28"/>
      <c r="F44" s="25"/>
      <c r="G44" s="26"/>
      <c r="H44" s="26"/>
      <c r="I44" s="69">
        <f>Transporte105137[[#This Row],[Orçado]]-Transporte105137[[#This Row],[Real]]</f>
        <v>0</v>
      </c>
    </row>
    <row r="45" spans="1:11" ht="15.6" x14ac:dyDescent="0.3">
      <c r="A45" s="25"/>
      <c r="B45" s="26"/>
      <c r="C45" s="26"/>
      <c r="D45" s="69">
        <f>Pessoaleducacao100132[[#This Row],[Orçado]]-Pessoaleducacao100132[[#This Row],[Real]]</f>
        <v>0</v>
      </c>
      <c r="E45" s="28"/>
      <c r="F45" s="29"/>
      <c r="G45" s="30"/>
      <c r="H45" s="30"/>
      <c r="I45" s="69">
        <f>Transporte105137[[#This Row],[Orçado]]-Transporte105137[[#This Row],[Real]]</f>
        <v>0</v>
      </c>
      <c r="J45" s="38"/>
      <c r="K45" s="38"/>
    </row>
    <row r="46" spans="1:11" ht="15.6" x14ac:dyDescent="0.3">
      <c r="A46" s="39" t="s">
        <v>4</v>
      </c>
      <c r="B46" s="40"/>
      <c r="C46" s="40"/>
      <c r="D46" s="69">
        <f>Pessoaleducacao100132[[#This Row],[Orçado]]-Pessoaleducacao100132[[#This Row],[Real]]</f>
        <v>0</v>
      </c>
      <c r="E46" s="28"/>
      <c r="F46" s="25" t="s">
        <v>4</v>
      </c>
      <c r="G46" s="26"/>
      <c r="H46" s="26"/>
      <c r="I46" s="69">
        <f>Transporte105137[[#This Row],[Orçado]]-Transporte105137[[#This Row],[Real]]</f>
        <v>0</v>
      </c>
      <c r="J46" s="38"/>
      <c r="K46" s="38"/>
    </row>
    <row r="47" spans="1:11" ht="18" x14ac:dyDescent="0.3">
      <c r="A47" s="66" t="s">
        <v>5</v>
      </c>
      <c r="B47" s="65">
        <f>SUM(Pessoaleducacao100132[Orçado])</f>
        <v>0</v>
      </c>
      <c r="C47" s="65">
        <f>SUM(Pessoaleducacao100132[Real])</f>
        <v>0</v>
      </c>
      <c r="D47" s="65">
        <f>SUM(Pessoaleducacao100132[Diferença])</f>
        <v>0</v>
      </c>
      <c r="E47" s="28"/>
      <c r="F47" s="66" t="s">
        <v>5</v>
      </c>
      <c r="G47" s="65">
        <f>SUM(Transporte105137[Orçado])</f>
        <v>0</v>
      </c>
      <c r="H47" s="65">
        <f>SUM(Transporte105137[Real])</f>
        <v>0</v>
      </c>
      <c r="I47" s="65">
        <f>SUM(Transporte105137[Diferença])</f>
        <v>0</v>
      </c>
      <c r="J47" s="38"/>
      <c r="K47" s="38"/>
    </row>
    <row r="48" spans="1:11" s="31" customFormat="1" ht="30" customHeight="1" x14ac:dyDescent="0.3">
      <c r="A48" s="99"/>
      <c r="B48" s="99"/>
      <c r="C48" s="99"/>
      <c r="D48" s="99"/>
      <c r="E48" s="37"/>
      <c r="F48" s="5"/>
      <c r="G48" s="5"/>
      <c r="H48" s="5"/>
      <c r="I48" s="5"/>
    </row>
    <row r="49" spans="1:9" ht="30" customHeight="1" x14ac:dyDescent="0.3">
      <c r="A49" s="75" t="s">
        <v>11</v>
      </c>
      <c r="B49" s="68"/>
      <c r="C49" s="68"/>
      <c r="D49" s="68"/>
      <c r="E49" s="28"/>
      <c r="F49" s="75"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Investimentos104136[[#This Row],[Orçado]]-Investimentos104136[[#This Row],[Real]]</f>
        <v>0</v>
      </c>
      <c r="E51" s="28"/>
      <c r="F51" s="35" t="s">
        <v>38</v>
      </c>
      <c r="G51" s="36"/>
      <c r="H51" s="36"/>
      <c r="I51" s="69">
        <f>Outros103135[[#This Row],[Orçado]]-Outros103135[[#This Row],[Real]]</f>
        <v>0</v>
      </c>
    </row>
    <row r="52" spans="1:9" ht="15.6" customHeight="1" x14ac:dyDescent="0.3">
      <c r="A52" s="25" t="s">
        <v>20</v>
      </c>
      <c r="B52" s="30"/>
      <c r="C52" s="30"/>
      <c r="D52" s="69">
        <f>Investimentos104136[[#This Row],[Orçado]]-Investimentos104136[[#This Row],[Real]]</f>
        <v>0</v>
      </c>
      <c r="E52" s="28"/>
      <c r="F52" s="25" t="s">
        <v>39</v>
      </c>
      <c r="G52" s="30"/>
      <c r="H52" s="30"/>
      <c r="I52" s="69">
        <f>Outros103135[[#This Row],[Orçado]]-Outros103135[[#This Row],[Real]]</f>
        <v>0</v>
      </c>
    </row>
    <row r="53" spans="1:9" ht="15.6" customHeight="1" x14ac:dyDescent="0.3">
      <c r="A53" s="25" t="s">
        <v>11</v>
      </c>
      <c r="B53" s="30"/>
      <c r="C53" s="30"/>
      <c r="D53" s="69">
        <f>Investimentos104136[[#This Row],[Orçado]]-Investimentos104136[[#This Row],[Real]]</f>
        <v>0</v>
      </c>
      <c r="E53" s="28"/>
      <c r="F53" s="25"/>
      <c r="G53" s="30"/>
      <c r="H53" s="30"/>
      <c r="I53" s="69">
        <f>Outros103135[[#This Row],[Orçado]]-Outros103135[[#This Row],[Real]]</f>
        <v>0</v>
      </c>
    </row>
    <row r="54" spans="1:9" ht="15.6" customHeight="1" x14ac:dyDescent="0.3">
      <c r="A54" s="25"/>
      <c r="B54" s="26"/>
      <c r="C54" s="26"/>
      <c r="D54" s="69">
        <f>Investimentos104136[[#This Row],[Orçado]]-Investimentos104136[[#This Row],[Real]]</f>
        <v>0</v>
      </c>
      <c r="E54" s="28"/>
      <c r="F54" s="25"/>
      <c r="G54" s="26"/>
      <c r="H54" s="26"/>
      <c r="I54" s="69">
        <f>Outros103135[[#This Row],[Orçado]]-Outros103135[[#This Row],[Real]]</f>
        <v>0</v>
      </c>
    </row>
    <row r="55" spans="1:9" s="31" customFormat="1" ht="15.6" customHeight="1" x14ac:dyDescent="0.3">
      <c r="A55" s="29"/>
      <c r="B55" s="30"/>
      <c r="C55" s="30"/>
      <c r="D55" s="69">
        <f>Investimentos104136[[#This Row],[Orçado]]-Investimentos104136[[#This Row],[Real]]</f>
        <v>0</v>
      </c>
      <c r="E55" s="37"/>
      <c r="F55" s="29"/>
      <c r="G55" s="30"/>
      <c r="H55" s="30"/>
      <c r="I55" s="69">
        <f>Outros103135[[#This Row],[Orçado]]-Outros103135[[#This Row],[Real]]</f>
        <v>0</v>
      </c>
    </row>
    <row r="56" spans="1:9" s="31" customFormat="1" ht="15.6" x14ac:dyDescent="0.3">
      <c r="A56" s="29"/>
      <c r="B56" s="30"/>
      <c r="C56" s="30"/>
      <c r="D56" s="69">
        <f>Investimentos104136[[#This Row],[Orçado]]-Investimentos104136[[#This Row],[Real]]</f>
        <v>0</v>
      </c>
      <c r="E56" s="37"/>
      <c r="F56" s="29"/>
      <c r="G56" s="30"/>
      <c r="H56" s="30"/>
      <c r="I56" s="69">
        <f>Outros103135[[#This Row],[Orçado]]-Outros103135[[#This Row],[Real]]</f>
        <v>0</v>
      </c>
    </row>
    <row r="57" spans="1:9" s="31" customFormat="1" ht="15.6" x14ac:dyDescent="0.3">
      <c r="A57" s="25" t="s">
        <v>4</v>
      </c>
      <c r="B57" s="26"/>
      <c r="C57" s="26"/>
      <c r="D57" s="69">
        <f>Investimentos104136[[#This Row],[Orçado]]-Investimentos104136[[#This Row],[Real]]</f>
        <v>0</v>
      </c>
      <c r="E57" s="37"/>
      <c r="F57" s="25" t="s">
        <v>4</v>
      </c>
      <c r="G57" s="26"/>
      <c r="H57" s="26"/>
      <c r="I57" s="69">
        <f>Outros103135[[#This Row],[Orçado]]-Outros103135[[#This Row],[Real]]</f>
        <v>0</v>
      </c>
    </row>
    <row r="58" spans="1:9" ht="18" x14ac:dyDescent="0.3">
      <c r="A58" s="64" t="s">
        <v>5</v>
      </c>
      <c r="B58" s="65">
        <f>SUM(Investimentos104136[Orçado])</f>
        <v>0</v>
      </c>
      <c r="C58" s="65">
        <f>SUM(Investimentos104136[Real])</f>
        <v>0</v>
      </c>
      <c r="D58" s="65">
        <f>SUM(Investimentos104136[Diferença])</f>
        <v>0</v>
      </c>
      <c r="E58" s="28"/>
      <c r="F58" s="64" t="s">
        <v>5</v>
      </c>
      <c r="G58" s="65">
        <f>SUM(Outros103135[Orçado])</f>
        <v>0</v>
      </c>
      <c r="H58" s="65">
        <f>SUM(Outros103135[Real])</f>
        <v>0</v>
      </c>
      <c r="I58" s="65">
        <f>SUM(Outros103135[Diferença])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UTnZPh07mfhAQfZmnpltNQgcSoJo0peC9wL6hx5/eAkN/s3t7FX0pKqMs06tyPiKENAFxnTBkMO//Z6YIzHkmg==" saltValue="YAkkDXfSI8LqRExTjIrX0g==" spinCount="100000" sheet="1" objects="1" scenarios="1" selectLockedCells="1"/>
  <mergeCells count="17">
    <mergeCell ref="A48:D48"/>
    <mergeCell ref="A61:D61"/>
    <mergeCell ref="F6:F7"/>
    <mergeCell ref="A38:D38"/>
    <mergeCell ref="H2:I2"/>
    <mergeCell ref="A16:D16"/>
    <mergeCell ref="A2:G2"/>
    <mergeCell ref="A4:B4"/>
    <mergeCell ref="A27:D27"/>
    <mergeCell ref="A11:B11"/>
    <mergeCell ref="D12:F13"/>
    <mergeCell ref="G12:G13"/>
    <mergeCell ref="D6:E7"/>
    <mergeCell ref="D8:E9"/>
    <mergeCell ref="F8:F9"/>
    <mergeCell ref="H4:I10"/>
    <mergeCell ref="H13:I15"/>
  </mergeCells>
  <conditionalFormatting sqref="J6:J9">
    <cfRule type="containsText" dxfId="811" priority="5" operator="containsText" text="Atenção! Cuidado com sua saúde financeira">
      <formula>NOT(ISERROR(SEARCH("Atenção! Cuidado com sua saúde financeira",J6)))</formula>
    </cfRule>
  </conditionalFormatting>
  <conditionalFormatting sqref="C14">
    <cfRule type="containsText" dxfId="810" priority="3" operator="containsText" text="Você está dentro do orçamento">
      <formula>NOT(ISERROR(SEARCH("Você está dentro do orçamento",C14)))</formula>
    </cfRule>
    <cfRule type="containsText" dxfId="809" priority="4" operator="containsText" text="Você está fora do orçamento">
      <formula>NOT(ISERROR(SEARCH("Você está fora do orçamento",C14)))</formula>
    </cfRule>
  </conditionalFormatting>
  <conditionalFormatting sqref="H4 J4:L10">
    <cfRule type="containsText" dxfId="808"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807" priority="1" stopIfTrue="1" operator="containsText" text="Atenção! Cuidado com sua saúde financeira">
      <formula>NOT(ISERROR(SEARCH("Atenção! Cuidado com sua saúde financeira",H4)))</formula>
    </cfRule>
    <cfRule type="containsText" dxfId="806"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B9" unlockedFormula="1"/>
  </ignoredErrors>
  <drawing r:id="rId2"/>
  <tableParts count="8">
    <tablePart r:id="rId3"/>
    <tablePart r:id="rId4"/>
    <tablePart r:id="rId5"/>
    <tablePart r:id="rId6"/>
    <tablePart r:id="rId7"/>
    <tablePart r:id="rId8"/>
    <tablePart r:id="rId9"/>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776D6-CE02-4796-B764-4D16A45D58C6}">
  <sheetPr>
    <tabColor theme="5"/>
    <pageSetUpPr autoPageBreaks="0" fitToPage="1"/>
  </sheetPr>
  <dimension ref="A1:Q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7" s="13" customFormat="1" ht="19.95" customHeight="1" x14ac:dyDescent="0.45">
      <c r="A1" s="12">
        <f ca="1">NOW()</f>
        <v>44791.47886412037</v>
      </c>
    </row>
    <row r="2" spans="1:17" s="13" customFormat="1" ht="94.8" customHeight="1" x14ac:dyDescent="0.3">
      <c r="A2" s="92" t="s">
        <v>62</v>
      </c>
      <c r="B2" s="92"/>
      <c r="C2" s="92"/>
      <c r="D2" s="92"/>
      <c r="E2" s="92"/>
      <c r="F2" s="92"/>
      <c r="G2" s="92"/>
      <c r="H2" s="84"/>
      <c r="I2" s="85"/>
      <c r="J2" s="77"/>
      <c r="K2" s="77"/>
      <c r="L2" s="77"/>
    </row>
    <row r="3" spans="1:17" s="15" customFormat="1" ht="15" customHeight="1" x14ac:dyDescent="0.3"/>
    <row r="4" spans="1:17"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row>
    <row r="5" spans="1:17" s="15" customFormat="1" ht="15.6" customHeight="1" x14ac:dyDescent="0.3">
      <c r="A5" s="6" t="s">
        <v>12</v>
      </c>
      <c r="B5" s="7">
        <v>100</v>
      </c>
      <c r="H5" s="91"/>
      <c r="I5" s="91"/>
      <c r="K5" s="76" t="str">
        <f>IF(I8&gt;0,"Parabéns! Invista na Mais Previdência", IF(I8&lt;0,"Atenção! Cuidado com sua saúde financeira.",""))</f>
        <v/>
      </c>
      <c r="L5" s="76"/>
    </row>
    <row r="6" spans="1:17" s="15" customFormat="1" ht="15.6" customHeight="1" x14ac:dyDescent="0.3">
      <c r="A6" s="8" t="s">
        <v>0</v>
      </c>
      <c r="B6" s="9">
        <v>10</v>
      </c>
      <c r="D6" s="93" t="s">
        <v>49</v>
      </c>
      <c r="E6" s="93"/>
      <c r="F6" s="88">
        <f>B9-B12</f>
        <v>220</v>
      </c>
      <c r="H6" s="91"/>
      <c r="I6" s="91"/>
      <c r="J6" s="62"/>
      <c r="K6" s="76"/>
      <c r="L6" s="76"/>
    </row>
    <row r="7" spans="1:17" s="15" customFormat="1" ht="15.6" customHeight="1" x14ac:dyDescent="0.3">
      <c r="A7" s="8" t="s">
        <v>13</v>
      </c>
      <c r="B7" s="9">
        <v>10</v>
      </c>
      <c r="D7" s="93"/>
      <c r="E7" s="93"/>
      <c r="F7" s="88"/>
      <c r="H7" s="91"/>
      <c r="I7" s="91"/>
      <c r="J7" s="62"/>
      <c r="K7" s="76"/>
      <c r="L7" s="76"/>
    </row>
    <row r="8" spans="1:17" s="15" customFormat="1" ht="15.6" customHeight="1" x14ac:dyDescent="0.3">
      <c r="A8" s="8" t="s">
        <v>14</v>
      </c>
      <c r="B8" s="9">
        <v>100</v>
      </c>
      <c r="D8" s="94" t="s">
        <v>50</v>
      </c>
      <c r="E8" s="94"/>
      <c r="F8" s="95">
        <f>B9-B13</f>
        <v>220</v>
      </c>
      <c r="H8" s="91"/>
      <c r="I8" s="91"/>
      <c r="J8" s="62"/>
      <c r="K8" s="76"/>
      <c r="L8" s="76"/>
    </row>
    <row r="9" spans="1:17" s="15" customFormat="1" ht="18" customHeight="1" x14ac:dyDescent="0.3">
      <c r="A9" s="10" t="s">
        <v>1</v>
      </c>
      <c r="B9" s="11">
        <f>SUM(B5:B8)</f>
        <v>220</v>
      </c>
      <c r="D9" s="94"/>
      <c r="E9" s="94"/>
      <c r="F9" s="95"/>
      <c r="G9" s="60"/>
      <c r="H9" s="91"/>
      <c r="I9" s="91"/>
      <c r="J9" s="62"/>
      <c r="K9" s="76"/>
      <c r="L9" s="76"/>
    </row>
    <row r="10" spans="1:17" s="15" customFormat="1" ht="30" customHeight="1" x14ac:dyDescent="0.3">
      <c r="A10" s="5"/>
      <c r="B10" s="5"/>
      <c r="D10" s="61"/>
      <c r="E10" s="61"/>
      <c r="F10" s="61"/>
      <c r="G10" s="60"/>
      <c r="H10" s="91"/>
      <c r="I10" s="91"/>
      <c r="J10" s="17"/>
      <c r="K10" s="76"/>
      <c r="L10" s="76"/>
    </row>
    <row r="11" spans="1:17" s="15" customFormat="1" ht="30" customHeight="1" x14ac:dyDescent="0.3">
      <c r="A11" s="86" t="s">
        <v>48</v>
      </c>
      <c r="B11" s="87"/>
      <c r="C11" s="16"/>
      <c r="D11" s="61"/>
      <c r="E11" s="61"/>
      <c r="F11" s="61"/>
      <c r="G11" s="60"/>
      <c r="I11" s="79"/>
      <c r="J11" s="79"/>
      <c r="K11" s="79"/>
      <c r="L11" s="79"/>
    </row>
    <row r="12" spans="1:17" s="15" customFormat="1" ht="15.6" customHeight="1" x14ac:dyDescent="0.3">
      <c r="A12" s="73" t="s">
        <v>16</v>
      </c>
      <c r="B12" s="72">
        <f>SUM(Moradia102142[Orçado],Lazer101141[Orçado],Saúde99139[Orçado],Alimentação98138[Orçado],Pessoaleducacao100140[Orçado],Transporte105145[Orçado],Investimentos104144[Orçado],Outros103143[Orçado])</f>
        <v>0</v>
      </c>
      <c r="D12" s="100"/>
      <c r="E12" s="100"/>
      <c r="F12" s="100"/>
      <c r="G12" s="89"/>
      <c r="H12" s="79"/>
      <c r="I12" s="79"/>
      <c r="J12" s="79"/>
      <c r="K12" s="79"/>
      <c r="L12" s="79"/>
    </row>
    <row r="13" spans="1:17" s="15" customFormat="1" ht="15.6" customHeight="1" x14ac:dyDescent="0.3">
      <c r="A13" s="74" t="s">
        <v>17</v>
      </c>
      <c r="B13" s="69">
        <f>SUM(Moradia102142[Real],Lazer101141[Real],Saúde99139[Real],Alimentação98138[Real],Pessoaleducacao100140[Real],Transporte105145[Real],Investimentos104144[Real],Outros103143[Real])</f>
        <v>0</v>
      </c>
      <c r="D13" s="100"/>
      <c r="E13" s="100"/>
      <c r="F13" s="100"/>
      <c r="G13" s="89"/>
      <c r="H13" s="84" t="s">
        <v>68</v>
      </c>
      <c r="I13" s="84"/>
      <c r="J13" s="79"/>
      <c r="K13" s="79"/>
      <c r="L13" s="79"/>
    </row>
    <row r="14" spans="1:17" s="15" customFormat="1" ht="18" x14ac:dyDescent="0.3">
      <c r="A14" s="70" t="s">
        <v>10</v>
      </c>
      <c r="B14" s="63">
        <f>B12-B13</f>
        <v>0</v>
      </c>
      <c r="C14" s="71" t="str">
        <f>IF(B14&gt;0,"Você está dentro do orçamento", IF(B14&lt;0,"Você está fora do orçamento",""))</f>
        <v/>
      </c>
      <c r="H14" s="84"/>
      <c r="I14" s="84"/>
    </row>
    <row r="15" spans="1:17" ht="37.799999999999997" customHeight="1" x14ac:dyDescent="0.3">
      <c r="A15" s="18"/>
      <c r="B15" s="19"/>
      <c r="H15" s="84"/>
      <c r="I15" s="84"/>
    </row>
    <row r="16" spans="1:17" ht="30" customHeight="1" x14ac:dyDescent="0.3">
      <c r="A16" s="101" t="s">
        <v>2</v>
      </c>
      <c r="B16" s="101"/>
      <c r="C16" s="101"/>
      <c r="D16" s="101"/>
      <c r="E16" s="20"/>
      <c r="F16" s="75"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Moradia102142[[#This Row],[Orçado]]-Moradia102142[[#This Row],[Real]]</f>
        <v>0</v>
      </c>
      <c r="E18" s="27"/>
      <c r="F18" s="25" t="s">
        <v>26</v>
      </c>
      <c r="G18" s="26"/>
      <c r="H18" s="26"/>
      <c r="I18" s="69">
        <f>Lazer101141[[#This Row],[Orçado]]-Lazer101141[[#This Row],[Real]]</f>
        <v>0</v>
      </c>
      <c r="M18" s="78"/>
      <c r="N18" s="78"/>
      <c r="O18" s="78"/>
      <c r="P18" s="78"/>
      <c r="Q18" s="78"/>
    </row>
    <row r="19" spans="1:17" ht="15.6" x14ac:dyDescent="0.3">
      <c r="A19" s="25" t="s">
        <v>22</v>
      </c>
      <c r="B19" s="26"/>
      <c r="C19" s="26"/>
      <c r="D19" s="69">
        <f>Moradia102142[[#This Row],[Orçado]]-Moradia102142[[#This Row],[Real]]</f>
        <v>0</v>
      </c>
      <c r="E19" s="28"/>
      <c r="F19" s="25" t="s">
        <v>27</v>
      </c>
      <c r="G19" s="26"/>
      <c r="H19" s="26"/>
      <c r="I19" s="69">
        <f>Lazer101141[[#This Row],[Orçado]]-Lazer101141[[#This Row],[Real]]</f>
        <v>0</v>
      </c>
      <c r="M19" s="78"/>
      <c r="N19" s="78"/>
      <c r="O19" s="78"/>
      <c r="P19" s="78"/>
      <c r="Q19" s="78"/>
    </row>
    <row r="20" spans="1:17" ht="15.6" x14ac:dyDescent="0.3">
      <c r="A20" s="25" t="s">
        <v>23</v>
      </c>
      <c r="B20" s="26"/>
      <c r="C20" s="26"/>
      <c r="D20" s="69">
        <f>Moradia102142[[#This Row],[Orçado]]-Moradia102142[[#This Row],[Real]]</f>
        <v>0</v>
      </c>
      <c r="E20" s="28"/>
      <c r="F20" s="25" t="s">
        <v>34</v>
      </c>
      <c r="G20" s="26"/>
      <c r="H20" s="26"/>
      <c r="I20" s="69">
        <f>Lazer101141[[#This Row],[Orçado]]-Lazer101141[[#This Row],[Real]]</f>
        <v>0</v>
      </c>
      <c r="M20" s="78"/>
      <c r="N20" s="78"/>
      <c r="O20" s="78"/>
      <c r="P20" s="78"/>
      <c r="Q20" s="78"/>
    </row>
    <row r="21" spans="1:17" ht="15.6" x14ac:dyDescent="0.3">
      <c r="A21" s="25" t="s">
        <v>24</v>
      </c>
      <c r="B21" s="26"/>
      <c r="C21" s="26"/>
      <c r="D21" s="69">
        <f>Moradia102142[[#This Row],[Orçado]]-Moradia102142[[#This Row],[Real]]</f>
        <v>0</v>
      </c>
      <c r="E21" s="28"/>
      <c r="F21" s="25"/>
      <c r="G21" s="26"/>
      <c r="H21" s="26"/>
      <c r="I21" s="69">
        <f>Lazer101141[[#This Row],[Orçado]]-Lazer101141[[#This Row],[Real]]</f>
        <v>0</v>
      </c>
    </row>
    <row r="22" spans="1:17" ht="15.6" x14ac:dyDescent="0.3">
      <c r="A22" s="25" t="s">
        <v>25</v>
      </c>
      <c r="B22" s="26"/>
      <c r="C22" s="26"/>
      <c r="D22" s="69">
        <f>Moradia102142[[#This Row],[Orçado]]-Moradia102142[[#This Row],[Real]]</f>
        <v>0</v>
      </c>
      <c r="E22" s="28"/>
      <c r="F22" s="25"/>
      <c r="G22" s="26"/>
      <c r="H22" s="26"/>
      <c r="I22" s="69">
        <f>Lazer101141[[#This Row],[Orçado]]-Lazer101141[[#This Row],[Real]]</f>
        <v>0</v>
      </c>
    </row>
    <row r="23" spans="1:17" ht="15.6" x14ac:dyDescent="0.3">
      <c r="A23" s="25"/>
      <c r="B23" s="26"/>
      <c r="C23" s="26"/>
      <c r="D23" s="69">
        <f>Moradia102142[[#This Row],[Orçado]]-Moradia102142[[#This Row],[Real]]</f>
        <v>0</v>
      </c>
      <c r="E23" s="28"/>
      <c r="F23" s="29"/>
      <c r="G23" s="30"/>
      <c r="H23" s="30"/>
      <c r="I23" s="69">
        <f>Lazer101141[[#This Row],[Orçado]]-Lazer101141[[#This Row],[Real]]</f>
        <v>0</v>
      </c>
    </row>
    <row r="24" spans="1:17" ht="15.6" x14ac:dyDescent="0.3">
      <c r="A24" s="25" t="s">
        <v>4</v>
      </c>
      <c r="B24" s="26"/>
      <c r="C24" s="26"/>
      <c r="D24" s="69">
        <f>Moradia102142[[#This Row],[Orçado]]-Moradia102142[[#This Row],[Real]]</f>
        <v>0</v>
      </c>
      <c r="E24" s="28"/>
      <c r="F24" s="25" t="s">
        <v>4</v>
      </c>
      <c r="G24" s="26"/>
      <c r="H24" s="26"/>
      <c r="I24" s="69">
        <f>Lazer101141[[#This Row],[Orçado]]-Lazer101141[[#This Row],[Real]]</f>
        <v>0</v>
      </c>
    </row>
    <row r="25" spans="1:17" ht="18" x14ac:dyDescent="0.3">
      <c r="A25" s="66" t="s">
        <v>5</v>
      </c>
      <c r="B25" s="65">
        <f>SUM(Moradia102142[Orçado])</f>
        <v>0</v>
      </c>
      <c r="C25" s="65">
        <f>SUM(Moradia102142[Real])</f>
        <v>0</v>
      </c>
      <c r="D25" s="65">
        <f>SUM(Moradia102142[Diferença])</f>
        <v>0</v>
      </c>
      <c r="E25" s="28"/>
      <c r="F25" s="66" t="s">
        <v>5</v>
      </c>
      <c r="G25" s="65">
        <f>SUM(Lazer101141[Orçado])</f>
        <v>0</v>
      </c>
      <c r="H25" s="65">
        <f>SUM(Lazer101141[Real])</f>
        <v>0</v>
      </c>
      <c r="I25" s="65">
        <f>SUM(Lazer101141[Diferença])</f>
        <v>0</v>
      </c>
    </row>
    <row r="26" spans="1:17" ht="37.799999999999997" customHeight="1" x14ac:dyDescent="0.3">
      <c r="A26" s="18"/>
      <c r="B26" s="19"/>
    </row>
    <row r="27" spans="1:17" ht="30" customHeight="1" x14ac:dyDescent="0.3">
      <c r="A27" s="101" t="s">
        <v>7</v>
      </c>
      <c r="B27" s="101"/>
      <c r="C27" s="101"/>
      <c r="D27" s="101"/>
      <c r="E27" s="20"/>
      <c r="F27" s="75"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Saúde99139[[#This Row],[Orçado]]-Saúde99139[[#This Row],[Real]]</f>
        <v>0</v>
      </c>
      <c r="E29" s="27"/>
      <c r="F29" s="25" t="s">
        <v>8</v>
      </c>
      <c r="G29" s="26"/>
      <c r="H29" s="26"/>
      <c r="I29" s="69">
        <f>Alimentação98138[[#This Row],[Orçado]]-Alimentação98138[[#This Row],[Real]]</f>
        <v>0</v>
      </c>
    </row>
    <row r="30" spans="1:17" ht="15.6" x14ac:dyDescent="0.3">
      <c r="A30" s="25" t="s">
        <v>29</v>
      </c>
      <c r="B30" s="26"/>
      <c r="C30" s="26"/>
      <c r="D30" s="69">
        <f>Saúde99139[[#This Row],[Orçado]]-Saúde99139[[#This Row],[Real]]</f>
        <v>0</v>
      </c>
      <c r="E30" s="28"/>
      <c r="F30" s="25" t="s">
        <v>37</v>
      </c>
      <c r="G30" s="26"/>
      <c r="H30" s="26"/>
      <c r="I30" s="69">
        <f>Alimentação98138[[#This Row],[Orçado]]-Alimentação98138[[#This Row],[Real]]</f>
        <v>0</v>
      </c>
    </row>
    <row r="31" spans="1:17" ht="15.6" x14ac:dyDescent="0.3">
      <c r="A31" s="25" t="s">
        <v>35</v>
      </c>
      <c r="B31" s="26"/>
      <c r="C31" s="26"/>
      <c r="D31" s="69">
        <f>Saúde99139[[#This Row],[Orçado]]-Saúde99139[[#This Row],[Real]]</f>
        <v>0</v>
      </c>
      <c r="E31" s="28"/>
      <c r="F31" s="25"/>
      <c r="G31" s="26"/>
      <c r="H31" s="26"/>
      <c r="I31" s="69">
        <f>Alimentação98138[[#This Row],[Orçado]]-Alimentação98138[[#This Row],[Real]]</f>
        <v>0</v>
      </c>
    </row>
    <row r="32" spans="1:17" ht="15.6" x14ac:dyDescent="0.3">
      <c r="A32" s="25"/>
      <c r="B32" s="26"/>
      <c r="C32" s="26"/>
      <c r="D32" s="69">
        <f>Saúde99139[[#This Row],[Orçado]]-Saúde99139[[#This Row],[Real]]</f>
        <v>0</v>
      </c>
      <c r="E32" s="28"/>
      <c r="F32" s="25"/>
      <c r="G32" s="26"/>
      <c r="H32" s="26"/>
      <c r="I32" s="69">
        <f>Alimentação98138[[#This Row],[Orçado]]-Alimentação98138[[#This Row],[Real]]</f>
        <v>0</v>
      </c>
    </row>
    <row r="33" spans="1:11" ht="15.6" x14ac:dyDescent="0.3">
      <c r="A33" s="25"/>
      <c r="B33" s="26"/>
      <c r="C33" s="26"/>
      <c r="D33" s="69">
        <f>Saúde99139[[#This Row],[Orçado]]-Saúde99139[[#This Row],[Real]]</f>
        <v>0</v>
      </c>
      <c r="E33" s="28"/>
      <c r="F33" s="25"/>
      <c r="G33" s="26"/>
      <c r="H33" s="26"/>
      <c r="I33" s="69">
        <f>Alimentação98138[[#This Row],[Orçado]]-Alimentação98138[[#This Row],[Real]]</f>
        <v>0</v>
      </c>
    </row>
    <row r="34" spans="1:11" ht="15.6" x14ac:dyDescent="0.3">
      <c r="A34" s="25"/>
      <c r="B34" s="26"/>
      <c r="C34" s="26"/>
      <c r="D34" s="69">
        <f>Saúde99139[[#This Row],[Orçado]]-Saúde99139[[#This Row],[Real]]</f>
        <v>0</v>
      </c>
      <c r="E34" s="28"/>
      <c r="F34" s="29"/>
      <c r="G34" s="30"/>
      <c r="H34" s="30"/>
      <c r="I34" s="69">
        <f>Alimentação98138[[#This Row],[Orçado]]-Alimentação98138[[#This Row],[Real]]</f>
        <v>0</v>
      </c>
    </row>
    <row r="35" spans="1:11" ht="15.6" x14ac:dyDescent="0.3">
      <c r="A35" s="25" t="s">
        <v>4</v>
      </c>
      <c r="B35" s="26"/>
      <c r="C35" s="26"/>
      <c r="D35" s="69">
        <f>Saúde99139[[#This Row],[Orçado]]-Saúde99139[[#This Row],[Real]]</f>
        <v>0</v>
      </c>
      <c r="E35" s="28"/>
      <c r="F35" s="25" t="s">
        <v>4</v>
      </c>
      <c r="G35" s="26"/>
      <c r="H35" s="26"/>
      <c r="I35" s="69">
        <f>Alimentação98138[[#This Row],[Orçado]]-Alimentação98138[[#This Row],[Real]]</f>
        <v>0</v>
      </c>
    </row>
    <row r="36" spans="1:11" ht="18" x14ac:dyDescent="0.3">
      <c r="A36" s="66" t="s">
        <v>5</v>
      </c>
      <c r="B36" s="65">
        <f>SUM(Saúde99139[Orçado])</f>
        <v>0</v>
      </c>
      <c r="C36" s="65">
        <f>SUM(Saúde99139[Real])</f>
        <v>0</v>
      </c>
      <c r="D36" s="65">
        <f>SUM(Saúde99139[Diferença])</f>
        <v>0</v>
      </c>
      <c r="E36" s="28"/>
      <c r="F36" s="66" t="s">
        <v>5</v>
      </c>
      <c r="G36" s="65">
        <f>SUM(Alimentação98138[Orçado])</f>
        <v>0</v>
      </c>
      <c r="H36" s="65">
        <f>SUM(Alimentação98138[Real])</f>
        <v>0</v>
      </c>
      <c r="I36" s="65">
        <f>SUM(Alimentação98138[Diferença])</f>
        <v>0</v>
      </c>
    </row>
    <row r="37" spans="1:11" ht="30" customHeight="1" x14ac:dyDescent="0.3">
      <c r="A37" s="32"/>
      <c r="B37" s="33"/>
      <c r="C37" s="33"/>
      <c r="D37" s="34"/>
      <c r="E37" s="28"/>
    </row>
    <row r="38" spans="1:11" ht="30" customHeight="1" x14ac:dyDescent="0.3">
      <c r="A38" s="101" t="s">
        <v>40</v>
      </c>
      <c r="B38" s="101"/>
      <c r="C38" s="101"/>
      <c r="D38" s="101"/>
      <c r="E38" s="28"/>
      <c r="F38" s="75"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Pessoaleducacao100140[[#This Row],[Orçado]]-Pessoaleducacao100140[[#This Row],[Real]]</f>
        <v>0</v>
      </c>
      <c r="E40" s="37"/>
      <c r="F40" s="25" t="s">
        <v>30</v>
      </c>
      <c r="G40" s="26"/>
      <c r="H40" s="26"/>
      <c r="I40" s="69">
        <f>Transporte105145[[#This Row],[Orçado]]-Transporte105145[[#This Row],[Real]]</f>
        <v>0</v>
      </c>
    </row>
    <row r="41" spans="1:11" ht="15.6" x14ac:dyDescent="0.3">
      <c r="A41" s="25" t="s">
        <v>9</v>
      </c>
      <c r="B41" s="26"/>
      <c r="C41" s="26"/>
      <c r="D41" s="69">
        <f>Pessoaleducacao100140[[#This Row],[Orçado]]-Pessoaleducacao100140[[#This Row],[Real]]</f>
        <v>0</v>
      </c>
      <c r="E41" s="28"/>
      <c r="F41" s="25" t="s">
        <v>31</v>
      </c>
      <c r="G41" s="26"/>
      <c r="H41" s="26"/>
      <c r="I41" s="69">
        <f>Transporte105145[[#This Row],[Orçado]]-Transporte105145[[#This Row],[Real]]</f>
        <v>0</v>
      </c>
    </row>
    <row r="42" spans="1:11" ht="15.6" x14ac:dyDescent="0.3">
      <c r="A42" s="25" t="s">
        <v>41</v>
      </c>
      <c r="B42" s="26"/>
      <c r="C42" s="26"/>
      <c r="D42" s="69">
        <f>Pessoaleducacao100140[[#This Row],[Orçado]]-Pessoaleducacao100140[[#This Row],[Real]]</f>
        <v>0</v>
      </c>
      <c r="E42" s="28"/>
      <c r="F42" s="25" t="s">
        <v>32</v>
      </c>
      <c r="G42" s="26"/>
      <c r="H42" s="26"/>
      <c r="I42" s="69">
        <f>Transporte105145[[#This Row],[Orçado]]-Transporte105145[[#This Row],[Real]]</f>
        <v>0</v>
      </c>
    </row>
    <row r="43" spans="1:11" ht="15.6" x14ac:dyDescent="0.3">
      <c r="A43" s="25" t="s">
        <v>42</v>
      </c>
      <c r="B43" s="26"/>
      <c r="C43" s="26"/>
      <c r="D43" s="69">
        <f>Pessoaleducacao100140[[#This Row],[Orçado]]-Pessoaleducacao100140[[#This Row],[Real]]</f>
        <v>0</v>
      </c>
      <c r="E43" s="28"/>
      <c r="F43" s="25"/>
      <c r="G43" s="26"/>
      <c r="H43" s="26"/>
      <c r="I43" s="69">
        <f>Transporte105145[[#This Row],[Orçado]]-Transporte105145[[#This Row],[Real]]</f>
        <v>0</v>
      </c>
    </row>
    <row r="44" spans="1:11" ht="15.6" x14ac:dyDescent="0.3">
      <c r="A44" s="25" t="s">
        <v>43</v>
      </c>
      <c r="B44" s="26"/>
      <c r="C44" s="26"/>
      <c r="D44" s="69">
        <f>Pessoaleducacao100140[[#This Row],[Orçado]]-Pessoaleducacao100140[[#This Row],[Real]]</f>
        <v>0</v>
      </c>
      <c r="E44" s="28"/>
      <c r="F44" s="25"/>
      <c r="G44" s="26"/>
      <c r="H44" s="26"/>
      <c r="I44" s="69">
        <f>Transporte105145[[#This Row],[Orçado]]-Transporte105145[[#This Row],[Real]]</f>
        <v>0</v>
      </c>
    </row>
    <row r="45" spans="1:11" ht="15.6" x14ac:dyDescent="0.3">
      <c r="A45" s="25"/>
      <c r="B45" s="26"/>
      <c r="C45" s="26"/>
      <c r="D45" s="69">
        <f>Pessoaleducacao100140[[#This Row],[Orçado]]-Pessoaleducacao100140[[#This Row],[Real]]</f>
        <v>0</v>
      </c>
      <c r="E45" s="28"/>
      <c r="F45" s="29"/>
      <c r="G45" s="30"/>
      <c r="H45" s="30"/>
      <c r="I45" s="69">
        <f>Transporte105145[[#This Row],[Orçado]]-Transporte105145[[#This Row],[Real]]</f>
        <v>0</v>
      </c>
      <c r="J45" s="38"/>
      <c r="K45" s="38"/>
    </row>
    <row r="46" spans="1:11" ht="15.6" x14ac:dyDescent="0.3">
      <c r="A46" s="39" t="s">
        <v>4</v>
      </c>
      <c r="B46" s="40"/>
      <c r="C46" s="40"/>
      <c r="D46" s="69">
        <f>Pessoaleducacao100140[[#This Row],[Orçado]]-Pessoaleducacao100140[[#This Row],[Real]]</f>
        <v>0</v>
      </c>
      <c r="E46" s="28"/>
      <c r="F46" s="25" t="s">
        <v>4</v>
      </c>
      <c r="G46" s="26"/>
      <c r="H46" s="26"/>
      <c r="I46" s="69">
        <f>Transporte105145[[#This Row],[Orçado]]-Transporte105145[[#This Row],[Real]]</f>
        <v>0</v>
      </c>
      <c r="J46" s="38"/>
      <c r="K46" s="38"/>
    </row>
    <row r="47" spans="1:11" ht="18" x14ac:dyDescent="0.3">
      <c r="A47" s="66" t="s">
        <v>5</v>
      </c>
      <c r="B47" s="65">
        <f>SUM(Pessoaleducacao100140[Orçado])</f>
        <v>0</v>
      </c>
      <c r="C47" s="65">
        <f>SUM(Pessoaleducacao100140[Real])</f>
        <v>0</v>
      </c>
      <c r="D47" s="65">
        <f>SUM(Pessoaleducacao100140[Diferença])</f>
        <v>0</v>
      </c>
      <c r="E47" s="28"/>
      <c r="F47" s="66" t="s">
        <v>5</v>
      </c>
      <c r="G47" s="65">
        <f>SUM(Transporte105145[Orçado])</f>
        <v>0</v>
      </c>
      <c r="H47" s="65">
        <f>SUM(Transporte105145[Real])</f>
        <v>0</v>
      </c>
      <c r="I47" s="65">
        <f>SUM(Transporte105145[Diferença])</f>
        <v>0</v>
      </c>
      <c r="J47" s="38"/>
      <c r="K47" s="38"/>
    </row>
    <row r="48" spans="1:11" s="31" customFormat="1" ht="30" customHeight="1" x14ac:dyDescent="0.3">
      <c r="A48" s="99"/>
      <c r="B48" s="99"/>
      <c r="C48" s="99"/>
      <c r="D48" s="99"/>
      <c r="E48" s="37"/>
      <c r="F48" s="5"/>
      <c r="G48" s="5"/>
      <c r="H48" s="5"/>
      <c r="I48" s="5"/>
    </row>
    <row r="49" spans="1:9" ht="30" customHeight="1" x14ac:dyDescent="0.3">
      <c r="A49" s="75" t="s">
        <v>11</v>
      </c>
      <c r="B49" s="68"/>
      <c r="C49" s="68"/>
      <c r="D49" s="68"/>
      <c r="E49" s="28"/>
      <c r="F49" s="75"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Investimentos104144[[#This Row],[Orçado]]-Investimentos104144[[#This Row],[Real]]</f>
        <v>0</v>
      </c>
      <c r="E51" s="28"/>
      <c r="F51" s="35" t="s">
        <v>38</v>
      </c>
      <c r="G51" s="36"/>
      <c r="H51" s="36"/>
      <c r="I51" s="69">
        <f>Outros103143[[#This Row],[Orçado]]-Outros103143[[#This Row],[Real]]</f>
        <v>0</v>
      </c>
    </row>
    <row r="52" spans="1:9" ht="15.6" customHeight="1" x14ac:dyDescent="0.3">
      <c r="A52" s="25" t="s">
        <v>20</v>
      </c>
      <c r="B52" s="30"/>
      <c r="C52" s="30"/>
      <c r="D52" s="69">
        <f>Investimentos104144[[#This Row],[Orçado]]-Investimentos104144[[#This Row],[Real]]</f>
        <v>0</v>
      </c>
      <c r="E52" s="28"/>
      <c r="F52" s="25" t="s">
        <v>39</v>
      </c>
      <c r="G52" s="30"/>
      <c r="H52" s="30"/>
      <c r="I52" s="69">
        <f>Outros103143[[#This Row],[Orçado]]-Outros103143[[#This Row],[Real]]</f>
        <v>0</v>
      </c>
    </row>
    <row r="53" spans="1:9" ht="15.6" customHeight="1" x14ac:dyDescent="0.3">
      <c r="A53" s="25" t="s">
        <v>11</v>
      </c>
      <c r="B53" s="30"/>
      <c r="C53" s="30"/>
      <c r="D53" s="69">
        <f>Investimentos104144[[#This Row],[Orçado]]-Investimentos104144[[#This Row],[Real]]</f>
        <v>0</v>
      </c>
      <c r="E53" s="28"/>
      <c r="F53" s="25"/>
      <c r="G53" s="30"/>
      <c r="H53" s="30"/>
      <c r="I53" s="69">
        <f>Outros103143[[#This Row],[Orçado]]-Outros103143[[#This Row],[Real]]</f>
        <v>0</v>
      </c>
    </row>
    <row r="54" spans="1:9" ht="15.6" customHeight="1" x14ac:dyDescent="0.3">
      <c r="A54" s="25"/>
      <c r="B54" s="26"/>
      <c r="C54" s="26"/>
      <c r="D54" s="69">
        <f>Investimentos104144[[#This Row],[Orçado]]-Investimentos104144[[#This Row],[Real]]</f>
        <v>0</v>
      </c>
      <c r="E54" s="28"/>
      <c r="F54" s="25"/>
      <c r="G54" s="26"/>
      <c r="H54" s="26"/>
      <c r="I54" s="69">
        <f>Outros103143[[#This Row],[Orçado]]-Outros103143[[#This Row],[Real]]</f>
        <v>0</v>
      </c>
    </row>
    <row r="55" spans="1:9" s="31" customFormat="1" ht="15.6" customHeight="1" x14ac:dyDescent="0.3">
      <c r="A55" s="29"/>
      <c r="B55" s="30"/>
      <c r="C55" s="30"/>
      <c r="D55" s="69">
        <f>Investimentos104144[[#This Row],[Orçado]]-Investimentos104144[[#This Row],[Real]]</f>
        <v>0</v>
      </c>
      <c r="E55" s="37"/>
      <c r="F55" s="29"/>
      <c r="G55" s="30"/>
      <c r="H55" s="30"/>
      <c r="I55" s="69">
        <f>Outros103143[[#This Row],[Orçado]]-Outros103143[[#This Row],[Real]]</f>
        <v>0</v>
      </c>
    </row>
    <row r="56" spans="1:9" s="31" customFormat="1" ht="15.6" x14ac:dyDescent="0.3">
      <c r="A56" s="29"/>
      <c r="B56" s="30"/>
      <c r="C56" s="30"/>
      <c r="D56" s="69">
        <f>Investimentos104144[[#This Row],[Orçado]]-Investimentos104144[[#This Row],[Real]]</f>
        <v>0</v>
      </c>
      <c r="E56" s="37"/>
      <c r="F56" s="29"/>
      <c r="G56" s="30"/>
      <c r="H56" s="30"/>
      <c r="I56" s="69">
        <f>Outros103143[[#This Row],[Orçado]]-Outros103143[[#This Row],[Real]]</f>
        <v>0</v>
      </c>
    </row>
    <row r="57" spans="1:9" s="31" customFormat="1" ht="15.6" x14ac:dyDescent="0.3">
      <c r="A57" s="25" t="s">
        <v>4</v>
      </c>
      <c r="B57" s="26"/>
      <c r="C57" s="26"/>
      <c r="D57" s="69">
        <f>Investimentos104144[[#This Row],[Orçado]]-Investimentos104144[[#This Row],[Real]]</f>
        <v>0</v>
      </c>
      <c r="E57" s="37"/>
      <c r="F57" s="25" t="s">
        <v>4</v>
      </c>
      <c r="G57" s="26"/>
      <c r="H57" s="26"/>
      <c r="I57" s="69">
        <f>Outros103143[[#This Row],[Orçado]]-Outros103143[[#This Row],[Real]]</f>
        <v>0</v>
      </c>
    </row>
    <row r="58" spans="1:9" ht="18" x14ac:dyDescent="0.3">
      <c r="A58" s="64" t="s">
        <v>5</v>
      </c>
      <c r="B58" s="65">
        <f>SUM(Investimentos104144[Orçado])</f>
        <v>0</v>
      </c>
      <c r="C58" s="65">
        <f>SUM(Investimentos104144[Real])</f>
        <v>0</v>
      </c>
      <c r="D58" s="65">
        <f>SUM(Investimentos104144[Diferença])</f>
        <v>0</v>
      </c>
      <c r="E58" s="28"/>
      <c r="F58" s="64" t="s">
        <v>5</v>
      </c>
      <c r="G58" s="65">
        <f>SUM(Outros103143[Orçado])</f>
        <v>0</v>
      </c>
      <c r="H58" s="65">
        <f>SUM(Outros103143[Real])</f>
        <v>0</v>
      </c>
      <c r="I58" s="65">
        <f>SUM(Outros103143[Diferença])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wMpRON0XU4dQl4RtyU90bmmsFDGmcOj8yvegMg7FGzYxn/oSSRu+2KOsl+TmtqIjFS0Fp5DcN91NueqH35hRXA==" saltValue="hqJDCMj6N5whzE/rindxbA==" spinCount="100000" sheet="1" selectLockedCells="1"/>
  <mergeCells count="17">
    <mergeCell ref="A48:D48"/>
    <mergeCell ref="A61:D61"/>
    <mergeCell ref="F6:F7"/>
    <mergeCell ref="A38:D38"/>
    <mergeCell ref="H2:I2"/>
    <mergeCell ref="A16:D16"/>
    <mergeCell ref="A2:G2"/>
    <mergeCell ref="A4:B4"/>
    <mergeCell ref="A27:D27"/>
    <mergeCell ref="A11:B11"/>
    <mergeCell ref="D12:F13"/>
    <mergeCell ref="G12:G13"/>
    <mergeCell ref="D6:E7"/>
    <mergeCell ref="D8:E9"/>
    <mergeCell ref="F8:F9"/>
    <mergeCell ref="H4:I10"/>
    <mergeCell ref="H13:I15"/>
  </mergeCells>
  <conditionalFormatting sqref="J6:J9">
    <cfRule type="containsText" dxfId="695" priority="5" operator="containsText" text="Atenção! Cuidado com sua saúde financeira">
      <formula>NOT(ISERROR(SEARCH("Atenção! Cuidado com sua saúde financeira",J6)))</formula>
    </cfRule>
  </conditionalFormatting>
  <conditionalFormatting sqref="C14">
    <cfRule type="containsText" dxfId="694" priority="3" operator="containsText" text="Você está dentro do orçamento">
      <formula>NOT(ISERROR(SEARCH("Você está dentro do orçamento",C14)))</formula>
    </cfRule>
    <cfRule type="containsText" dxfId="693" priority="4" operator="containsText" text="Você está fora do orçamento">
      <formula>NOT(ISERROR(SEARCH("Você está fora do orçamento",C14)))</formula>
    </cfRule>
  </conditionalFormatting>
  <conditionalFormatting sqref="H4 J4:L10">
    <cfRule type="containsText" dxfId="692"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691" priority="1" stopIfTrue="1" operator="containsText" text="Atenção! Cuidado com sua saúde financeira">
      <formula>NOT(ISERROR(SEARCH("Atenção! Cuidado com sua saúde financeira",H4)))</formula>
    </cfRule>
    <cfRule type="containsText" dxfId="690"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B9" unlockedFormula="1"/>
  </ignoredErrors>
  <drawing r:id="rId2"/>
  <tableParts count="8">
    <tablePart r:id="rId3"/>
    <tablePart r:id="rId4"/>
    <tablePart r:id="rId5"/>
    <tablePart r:id="rId6"/>
    <tablePart r:id="rId7"/>
    <tablePart r:id="rId8"/>
    <tablePart r:id="rId9"/>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51DC2-185C-4813-A9B3-AEB6B4A2E4C3}">
  <sheetPr>
    <tabColor theme="5" tint="0.79998168889431442"/>
    <pageSetUpPr autoPageBreaks="0" fitToPage="1"/>
  </sheetPr>
  <dimension ref="A1:Q69"/>
  <sheetViews>
    <sheetView showGridLines="0" zoomScale="70" zoomScaleNormal="70" zoomScaleSheetLayoutView="30" workbookViewId="0">
      <selection activeCell="B5" sqref="B5"/>
    </sheetView>
  </sheetViews>
  <sheetFormatPr defaultColWidth="8.88671875" defaultRowHeight="13.8" x14ac:dyDescent="0.3"/>
  <cols>
    <col min="1" max="1" width="36.33203125" style="5" customWidth="1"/>
    <col min="2" max="2" width="20.6640625" style="5" customWidth="1"/>
    <col min="3" max="3" width="22.44140625" style="5" bestFit="1" customWidth="1"/>
    <col min="4" max="4" width="20.6640625" style="5" customWidth="1"/>
    <col min="5" max="5" width="18.33203125" style="5" customWidth="1"/>
    <col min="6" max="6" width="41.88671875" style="5" customWidth="1"/>
    <col min="7" max="9" width="20.6640625" style="5" customWidth="1"/>
    <col min="10" max="10" width="2.6640625" style="5" customWidth="1"/>
    <col min="11" max="16384" width="8.88671875" style="5"/>
  </cols>
  <sheetData>
    <row r="1" spans="1:17" s="13" customFormat="1" ht="19.95" customHeight="1" x14ac:dyDescent="0.45">
      <c r="A1" s="12">
        <f ca="1">NOW()</f>
        <v>44791.47886412037</v>
      </c>
    </row>
    <row r="2" spans="1:17" s="13" customFormat="1" ht="94.8" customHeight="1" x14ac:dyDescent="0.3">
      <c r="A2" s="92" t="s">
        <v>63</v>
      </c>
      <c r="B2" s="92"/>
      <c r="C2" s="92"/>
      <c r="D2" s="92"/>
      <c r="E2" s="92"/>
      <c r="F2" s="92"/>
      <c r="G2" s="92"/>
      <c r="H2" s="84"/>
      <c r="I2" s="85"/>
      <c r="J2" s="77"/>
      <c r="K2" s="77"/>
      <c r="L2" s="77"/>
    </row>
    <row r="3" spans="1:17" s="15" customFormat="1" ht="15" customHeight="1" x14ac:dyDescent="0.3"/>
    <row r="4" spans="1:17" s="15" customFormat="1" ht="30" customHeight="1" x14ac:dyDescent="0.3">
      <c r="A4" s="96" t="s">
        <v>55</v>
      </c>
      <c r="B4" s="97"/>
      <c r="C4" s="16"/>
      <c r="H4" s="90" t="str">
        <f>IF(F8&gt;0,"PARABÉNS! Neste mês, você conseguiu poupar! Por isso, o próximo passo dos 3 pilares da educação financeira é INVESTIR.
INVISTA na Mais Previdência por meio de um aporte esporádico e garanta a sua aposentadoria de verdade!", IF(F8&lt;0,"Atenção! Cuidado com sua saúde financeira.",""))</f>
        <v>PARABÉNS! Neste mês, você conseguiu poupar! Por isso, o próximo passo dos 3 pilares da educação financeira é INVESTIR.
INVISTA na Mais Previdência por meio de um aporte esporádico e garanta a sua aposentadoria de verdade!</v>
      </c>
      <c r="I4" s="90"/>
    </row>
    <row r="5" spans="1:17" s="15" customFormat="1" ht="15.6" customHeight="1" x14ac:dyDescent="0.3">
      <c r="A5" s="6" t="s">
        <v>12</v>
      </c>
      <c r="B5" s="7">
        <v>100</v>
      </c>
      <c r="H5" s="91"/>
      <c r="I5" s="91"/>
      <c r="K5" s="76" t="str">
        <f>IF(I8&gt;0,"Parabéns! Invista na Mais Previdência", IF(I8&lt;0,"Atenção! Cuidado com sua saúde financeira.",""))</f>
        <v/>
      </c>
      <c r="L5" s="76"/>
    </row>
    <row r="6" spans="1:17" s="15" customFormat="1" ht="15.6" customHeight="1" x14ac:dyDescent="0.3">
      <c r="A6" s="8" t="s">
        <v>0</v>
      </c>
      <c r="B6" s="9">
        <v>10</v>
      </c>
      <c r="D6" s="93" t="s">
        <v>49</v>
      </c>
      <c r="E6" s="93"/>
      <c r="F6" s="88">
        <f>B9-B12</f>
        <v>220</v>
      </c>
      <c r="H6" s="91"/>
      <c r="I6" s="91"/>
      <c r="J6" s="62"/>
      <c r="K6" s="76"/>
      <c r="L6" s="76"/>
    </row>
    <row r="7" spans="1:17" s="15" customFormat="1" ht="15.6" customHeight="1" x14ac:dyDescent="0.3">
      <c r="A7" s="8" t="s">
        <v>13</v>
      </c>
      <c r="B7" s="9">
        <v>10</v>
      </c>
      <c r="D7" s="93"/>
      <c r="E7" s="93"/>
      <c r="F7" s="88"/>
      <c r="H7" s="91"/>
      <c r="I7" s="91"/>
      <c r="J7" s="62"/>
      <c r="K7" s="76"/>
      <c r="L7" s="76"/>
    </row>
    <row r="8" spans="1:17" s="15" customFormat="1" ht="15.6" customHeight="1" x14ac:dyDescent="0.3">
      <c r="A8" s="8" t="s">
        <v>14</v>
      </c>
      <c r="B8" s="9">
        <v>100</v>
      </c>
      <c r="D8" s="94" t="s">
        <v>50</v>
      </c>
      <c r="E8" s="94"/>
      <c r="F8" s="95">
        <f>B9-B13</f>
        <v>220</v>
      </c>
      <c r="H8" s="91"/>
      <c r="I8" s="91"/>
      <c r="J8" s="62"/>
      <c r="K8" s="76"/>
      <c r="L8" s="76"/>
    </row>
    <row r="9" spans="1:17" s="15" customFormat="1" ht="18" customHeight="1" x14ac:dyDescent="0.3">
      <c r="A9" s="10" t="s">
        <v>1</v>
      </c>
      <c r="B9" s="11">
        <f>SUM(B5:B8)</f>
        <v>220</v>
      </c>
      <c r="D9" s="94"/>
      <c r="E9" s="94"/>
      <c r="F9" s="95"/>
      <c r="G9" s="60"/>
      <c r="H9" s="91"/>
      <c r="I9" s="91"/>
      <c r="J9" s="62"/>
      <c r="K9" s="76"/>
      <c r="L9" s="76"/>
    </row>
    <row r="10" spans="1:17" s="15" customFormat="1" ht="30" customHeight="1" x14ac:dyDescent="0.3">
      <c r="A10" s="5"/>
      <c r="B10" s="5"/>
      <c r="D10" s="61"/>
      <c r="E10" s="61"/>
      <c r="F10" s="61"/>
      <c r="G10" s="60"/>
      <c r="H10" s="91"/>
      <c r="I10" s="91"/>
      <c r="J10" s="17"/>
      <c r="K10" s="76"/>
      <c r="L10" s="76"/>
    </row>
    <row r="11" spans="1:17" s="15" customFormat="1" ht="30" customHeight="1" x14ac:dyDescent="0.3">
      <c r="A11" s="86" t="s">
        <v>48</v>
      </c>
      <c r="B11" s="87"/>
      <c r="C11" s="16"/>
      <c r="D11" s="61"/>
      <c r="E11" s="61"/>
      <c r="F11" s="61"/>
      <c r="G11" s="60"/>
      <c r="I11" s="79"/>
      <c r="J11" s="79"/>
      <c r="K11" s="79"/>
      <c r="L11" s="79"/>
    </row>
    <row r="12" spans="1:17" s="15" customFormat="1" ht="15.6" customHeight="1" x14ac:dyDescent="0.3">
      <c r="A12" s="73" t="s">
        <v>16</v>
      </c>
      <c r="B12" s="72">
        <f>SUM(Moradia102150[Orçado],Lazer101149[Orçado],Saúde99147[Orçado],Alimentação98146[Orçado],Pessoaleducacao100148[Orçado],Transporte105153[Orçado],Investimentos104152[Orçado],Outros103151[Orçado])</f>
        <v>0</v>
      </c>
      <c r="D12" s="100"/>
      <c r="E12" s="100"/>
      <c r="F12" s="100"/>
      <c r="G12" s="89"/>
      <c r="H12" s="79"/>
      <c r="I12" s="79"/>
      <c r="J12" s="79"/>
      <c r="K12" s="79"/>
      <c r="L12" s="79"/>
    </row>
    <row r="13" spans="1:17" s="15" customFormat="1" ht="15.6" customHeight="1" x14ac:dyDescent="0.3">
      <c r="A13" s="74" t="s">
        <v>17</v>
      </c>
      <c r="B13" s="69">
        <f>SUM(Moradia102150[Real],Lazer101149[Real],Saúde99147[Real],Alimentação98146[Real],Pessoaleducacao100148[Real],Transporte105153[Real],Investimentos104152[Real],Outros103151[Real])</f>
        <v>0</v>
      </c>
      <c r="D13" s="100"/>
      <c r="E13" s="100"/>
      <c r="F13" s="100"/>
      <c r="G13" s="89"/>
      <c r="H13" s="84" t="s">
        <v>68</v>
      </c>
      <c r="I13" s="84"/>
      <c r="J13" s="79"/>
      <c r="K13" s="79"/>
      <c r="L13" s="79"/>
    </row>
    <row r="14" spans="1:17" s="15" customFormat="1" ht="18" x14ac:dyDescent="0.3">
      <c r="A14" s="70" t="s">
        <v>10</v>
      </c>
      <c r="B14" s="63">
        <f>B12-B13</f>
        <v>0</v>
      </c>
      <c r="C14" s="71" t="str">
        <f>IF(B14&gt;0,"Você está dentro do orçamento", IF(B14&lt;0,"Você está fora do orçamento",""))</f>
        <v/>
      </c>
      <c r="H14" s="84"/>
      <c r="I14" s="84"/>
    </row>
    <row r="15" spans="1:17" ht="37.799999999999997" customHeight="1" x14ac:dyDescent="0.3">
      <c r="A15" s="18"/>
      <c r="B15" s="19"/>
      <c r="H15" s="84"/>
      <c r="I15" s="84"/>
    </row>
    <row r="16" spans="1:17" ht="30" customHeight="1" x14ac:dyDescent="0.3">
      <c r="A16" s="101" t="s">
        <v>2</v>
      </c>
      <c r="B16" s="101"/>
      <c r="C16" s="101"/>
      <c r="D16" s="101"/>
      <c r="E16" s="20"/>
      <c r="F16" s="75" t="s">
        <v>18</v>
      </c>
      <c r="G16" s="68"/>
      <c r="H16" s="68"/>
      <c r="I16" s="68"/>
      <c r="N16" s="78"/>
      <c r="O16" s="78"/>
      <c r="P16" s="78"/>
      <c r="Q16" s="78"/>
    </row>
    <row r="17" spans="1:17" ht="37.799999999999997" customHeight="1" x14ac:dyDescent="0.3">
      <c r="A17" s="21" t="s">
        <v>21</v>
      </c>
      <c r="B17" s="22" t="s">
        <v>16</v>
      </c>
      <c r="C17" s="22" t="s">
        <v>17</v>
      </c>
      <c r="D17" s="23" t="s">
        <v>10</v>
      </c>
      <c r="E17" s="20"/>
      <c r="F17" s="24" t="s">
        <v>3</v>
      </c>
      <c r="G17" s="22" t="s">
        <v>16</v>
      </c>
      <c r="H17" s="22" t="s">
        <v>17</v>
      </c>
      <c r="I17" s="23" t="s">
        <v>10</v>
      </c>
      <c r="M17" s="78"/>
      <c r="N17" s="78"/>
      <c r="O17" s="78"/>
      <c r="P17" s="78"/>
      <c r="Q17" s="78"/>
    </row>
    <row r="18" spans="1:17" ht="15.6" x14ac:dyDescent="0.3">
      <c r="A18" s="25" t="s">
        <v>15</v>
      </c>
      <c r="B18" s="26"/>
      <c r="C18" s="26"/>
      <c r="D18" s="69">
        <f>Moradia102150[[#This Row],[Orçado]]-Moradia102150[[#This Row],[Real]]</f>
        <v>0</v>
      </c>
      <c r="E18" s="27"/>
      <c r="F18" s="25" t="s">
        <v>26</v>
      </c>
      <c r="G18" s="26"/>
      <c r="H18" s="26"/>
      <c r="I18" s="69">
        <f>Lazer101149[[#This Row],[Orçado]]-Lazer101149[[#This Row],[Real]]</f>
        <v>0</v>
      </c>
      <c r="M18" s="78"/>
      <c r="N18" s="78"/>
      <c r="O18" s="78"/>
      <c r="P18" s="78"/>
      <c r="Q18" s="78"/>
    </row>
    <row r="19" spans="1:17" ht="15.6" x14ac:dyDescent="0.3">
      <c r="A19" s="25" t="s">
        <v>22</v>
      </c>
      <c r="B19" s="26"/>
      <c r="C19" s="26"/>
      <c r="D19" s="69">
        <f>Moradia102150[[#This Row],[Orçado]]-Moradia102150[[#This Row],[Real]]</f>
        <v>0</v>
      </c>
      <c r="E19" s="28"/>
      <c r="F19" s="25" t="s">
        <v>27</v>
      </c>
      <c r="G19" s="26"/>
      <c r="H19" s="26"/>
      <c r="I19" s="69">
        <f>Lazer101149[[#This Row],[Orçado]]-Lazer101149[[#This Row],[Real]]</f>
        <v>0</v>
      </c>
      <c r="M19" s="78"/>
      <c r="N19" s="78"/>
      <c r="O19" s="78"/>
      <c r="P19" s="78"/>
      <c r="Q19" s="78"/>
    </row>
    <row r="20" spans="1:17" ht="15.6" x14ac:dyDescent="0.3">
      <c r="A20" s="25" t="s">
        <v>23</v>
      </c>
      <c r="B20" s="26"/>
      <c r="C20" s="26"/>
      <c r="D20" s="69">
        <f>Moradia102150[[#This Row],[Orçado]]-Moradia102150[[#This Row],[Real]]</f>
        <v>0</v>
      </c>
      <c r="E20" s="28"/>
      <c r="F20" s="25" t="s">
        <v>34</v>
      </c>
      <c r="G20" s="26"/>
      <c r="H20" s="26"/>
      <c r="I20" s="69">
        <f>Lazer101149[[#This Row],[Orçado]]-Lazer101149[[#This Row],[Real]]</f>
        <v>0</v>
      </c>
      <c r="M20" s="78"/>
      <c r="N20" s="78"/>
      <c r="O20" s="78"/>
      <c r="P20" s="78"/>
      <c r="Q20" s="78"/>
    </row>
    <row r="21" spans="1:17" ht="15.6" x14ac:dyDescent="0.3">
      <c r="A21" s="25" t="s">
        <v>24</v>
      </c>
      <c r="B21" s="26"/>
      <c r="C21" s="26"/>
      <c r="D21" s="69">
        <f>Moradia102150[[#This Row],[Orçado]]-Moradia102150[[#This Row],[Real]]</f>
        <v>0</v>
      </c>
      <c r="E21" s="28"/>
      <c r="F21" s="25"/>
      <c r="G21" s="26"/>
      <c r="H21" s="26"/>
      <c r="I21" s="69">
        <f>Lazer101149[[#This Row],[Orçado]]-Lazer101149[[#This Row],[Real]]</f>
        <v>0</v>
      </c>
    </row>
    <row r="22" spans="1:17" ht="15.6" x14ac:dyDescent="0.3">
      <c r="A22" s="25" t="s">
        <v>25</v>
      </c>
      <c r="B22" s="26"/>
      <c r="C22" s="26"/>
      <c r="D22" s="69">
        <f>Moradia102150[[#This Row],[Orçado]]-Moradia102150[[#This Row],[Real]]</f>
        <v>0</v>
      </c>
      <c r="E22" s="28"/>
      <c r="F22" s="25"/>
      <c r="G22" s="26"/>
      <c r="H22" s="26"/>
      <c r="I22" s="69">
        <f>Lazer101149[[#This Row],[Orçado]]-Lazer101149[[#This Row],[Real]]</f>
        <v>0</v>
      </c>
    </row>
    <row r="23" spans="1:17" ht="15.6" x14ac:dyDescent="0.3">
      <c r="A23" s="25"/>
      <c r="B23" s="26"/>
      <c r="C23" s="26"/>
      <c r="D23" s="69">
        <f>Moradia102150[[#This Row],[Orçado]]-Moradia102150[[#This Row],[Real]]</f>
        <v>0</v>
      </c>
      <c r="E23" s="28"/>
      <c r="F23" s="29"/>
      <c r="G23" s="30"/>
      <c r="H23" s="30"/>
      <c r="I23" s="69">
        <f>Lazer101149[[#This Row],[Orçado]]-Lazer101149[[#This Row],[Real]]</f>
        <v>0</v>
      </c>
    </row>
    <row r="24" spans="1:17" ht="15.6" x14ac:dyDescent="0.3">
      <c r="A24" s="25" t="s">
        <v>4</v>
      </c>
      <c r="B24" s="26"/>
      <c r="C24" s="26"/>
      <c r="D24" s="69">
        <f>Moradia102150[[#This Row],[Orçado]]-Moradia102150[[#This Row],[Real]]</f>
        <v>0</v>
      </c>
      <c r="E24" s="28"/>
      <c r="F24" s="25" t="s">
        <v>4</v>
      </c>
      <c r="G24" s="26"/>
      <c r="H24" s="26"/>
      <c r="I24" s="69">
        <f>Lazer101149[[#This Row],[Orçado]]-Lazer101149[[#This Row],[Real]]</f>
        <v>0</v>
      </c>
    </row>
    <row r="25" spans="1:17" ht="18" x14ac:dyDescent="0.3">
      <c r="A25" s="66" t="s">
        <v>5</v>
      </c>
      <c r="B25" s="65">
        <f>SUM(Moradia102150[Orçado])</f>
        <v>0</v>
      </c>
      <c r="C25" s="65">
        <f>SUM(Moradia102150[Real])</f>
        <v>0</v>
      </c>
      <c r="D25" s="65">
        <f>SUM(Moradia102150[Diferença])</f>
        <v>0</v>
      </c>
      <c r="E25" s="28"/>
      <c r="F25" s="66" t="s">
        <v>5</v>
      </c>
      <c r="G25" s="65">
        <f>SUM(Lazer101149[Orçado])</f>
        <v>0</v>
      </c>
      <c r="H25" s="65">
        <f>SUM(Lazer101149[Real])</f>
        <v>0</v>
      </c>
      <c r="I25" s="65">
        <f>SUM(Lazer101149[Diferença])</f>
        <v>0</v>
      </c>
    </row>
    <row r="26" spans="1:17" ht="37.799999999999997" customHeight="1" x14ac:dyDescent="0.3">
      <c r="A26" s="18"/>
      <c r="B26" s="19"/>
    </row>
    <row r="27" spans="1:17" ht="30" customHeight="1" x14ac:dyDescent="0.3">
      <c r="A27" s="101" t="s">
        <v>7</v>
      </c>
      <c r="B27" s="101"/>
      <c r="C27" s="101"/>
      <c r="D27" s="101"/>
      <c r="E27" s="20"/>
      <c r="F27" s="75" t="s">
        <v>36</v>
      </c>
      <c r="G27" s="68"/>
      <c r="H27" s="68"/>
      <c r="I27" s="68"/>
    </row>
    <row r="28" spans="1:17" ht="37.950000000000003" customHeight="1" x14ac:dyDescent="0.3">
      <c r="A28" s="21" t="s">
        <v>3</v>
      </c>
      <c r="B28" s="22" t="s">
        <v>16</v>
      </c>
      <c r="C28" s="22" t="s">
        <v>17</v>
      </c>
      <c r="D28" s="23" t="s">
        <v>10</v>
      </c>
      <c r="E28" s="20"/>
      <c r="F28" s="24" t="s">
        <v>3</v>
      </c>
      <c r="G28" s="22" t="s">
        <v>16</v>
      </c>
      <c r="H28" s="22" t="s">
        <v>17</v>
      </c>
      <c r="I28" s="23" t="s">
        <v>10</v>
      </c>
    </row>
    <row r="29" spans="1:17" s="31" customFormat="1" ht="15.6" x14ac:dyDescent="0.3">
      <c r="A29" s="25" t="s">
        <v>28</v>
      </c>
      <c r="B29" s="26"/>
      <c r="C29" s="26"/>
      <c r="D29" s="69">
        <f>Saúde99147[[#This Row],[Orçado]]-Saúde99147[[#This Row],[Real]]</f>
        <v>0</v>
      </c>
      <c r="E29" s="27"/>
      <c r="F29" s="25" t="s">
        <v>8</v>
      </c>
      <c r="G29" s="26"/>
      <c r="H29" s="26"/>
      <c r="I29" s="69">
        <f>Alimentação98146[[#This Row],[Orçado]]-Alimentação98146[[#This Row],[Real]]</f>
        <v>0</v>
      </c>
    </row>
    <row r="30" spans="1:17" ht="15.6" x14ac:dyDescent="0.3">
      <c r="A30" s="25" t="s">
        <v>29</v>
      </c>
      <c r="B30" s="26"/>
      <c r="C30" s="26"/>
      <c r="D30" s="69">
        <f>Saúde99147[[#This Row],[Orçado]]-Saúde99147[[#This Row],[Real]]</f>
        <v>0</v>
      </c>
      <c r="E30" s="28"/>
      <c r="F30" s="25" t="s">
        <v>37</v>
      </c>
      <c r="G30" s="26"/>
      <c r="H30" s="26"/>
      <c r="I30" s="69">
        <f>Alimentação98146[[#This Row],[Orçado]]-Alimentação98146[[#This Row],[Real]]</f>
        <v>0</v>
      </c>
    </row>
    <row r="31" spans="1:17" ht="15.6" x14ac:dyDescent="0.3">
      <c r="A31" s="25" t="s">
        <v>35</v>
      </c>
      <c r="B31" s="26"/>
      <c r="C31" s="26"/>
      <c r="D31" s="69">
        <f>Saúde99147[[#This Row],[Orçado]]-Saúde99147[[#This Row],[Real]]</f>
        <v>0</v>
      </c>
      <c r="E31" s="28"/>
      <c r="F31" s="25"/>
      <c r="G31" s="26"/>
      <c r="H31" s="26"/>
      <c r="I31" s="69">
        <f>Alimentação98146[[#This Row],[Orçado]]-Alimentação98146[[#This Row],[Real]]</f>
        <v>0</v>
      </c>
    </row>
    <row r="32" spans="1:17" ht="15.6" x14ac:dyDescent="0.3">
      <c r="A32" s="25"/>
      <c r="B32" s="26"/>
      <c r="C32" s="26"/>
      <c r="D32" s="69">
        <f>Saúde99147[[#This Row],[Orçado]]-Saúde99147[[#This Row],[Real]]</f>
        <v>0</v>
      </c>
      <c r="E32" s="28"/>
      <c r="F32" s="25"/>
      <c r="G32" s="26"/>
      <c r="H32" s="26"/>
      <c r="I32" s="69">
        <f>Alimentação98146[[#This Row],[Orçado]]-Alimentação98146[[#This Row],[Real]]</f>
        <v>0</v>
      </c>
    </row>
    <row r="33" spans="1:11" ht="15.6" x14ac:dyDescent="0.3">
      <c r="A33" s="25"/>
      <c r="B33" s="26"/>
      <c r="C33" s="26"/>
      <c r="D33" s="69">
        <f>Saúde99147[[#This Row],[Orçado]]-Saúde99147[[#This Row],[Real]]</f>
        <v>0</v>
      </c>
      <c r="E33" s="28"/>
      <c r="F33" s="25"/>
      <c r="G33" s="26"/>
      <c r="H33" s="26"/>
      <c r="I33" s="69">
        <f>Alimentação98146[[#This Row],[Orçado]]-Alimentação98146[[#This Row],[Real]]</f>
        <v>0</v>
      </c>
    </row>
    <row r="34" spans="1:11" ht="15.6" x14ac:dyDescent="0.3">
      <c r="A34" s="25"/>
      <c r="B34" s="26"/>
      <c r="C34" s="26"/>
      <c r="D34" s="69">
        <f>Saúde99147[[#This Row],[Orçado]]-Saúde99147[[#This Row],[Real]]</f>
        <v>0</v>
      </c>
      <c r="E34" s="28"/>
      <c r="F34" s="29"/>
      <c r="G34" s="30"/>
      <c r="H34" s="30"/>
      <c r="I34" s="69">
        <f>Alimentação98146[[#This Row],[Orçado]]-Alimentação98146[[#This Row],[Real]]</f>
        <v>0</v>
      </c>
    </row>
    <row r="35" spans="1:11" ht="15.6" x14ac:dyDescent="0.3">
      <c r="A35" s="25" t="s">
        <v>4</v>
      </c>
      <c r="B35" s="26"/>
      <c r="C35" s="26"/>
      <c r="D35" s="69">
        <f>Saúde99147[[#This Row],[Orçado]]-Saúde99147[[#This Row],[Real]]</f>
        <v>0</v>
      </c>
      <c r="E35" s="28"/>
      <c r="F35" s="25" t="s">
        <v>4</v>
      </c>
      <c r="G35" s="26"/>
      <c r="H35" s="26"/>
      <c r="I35" s="69">
        <f>Alimentação98146[[#This Row],[Orçado]]-Alimentação98146[[#This Row],[Real]]</f>
        <v>0</v>
      </c>
    </row>
    <row r="36" spans="1:11" ht="18" x14ac:dyDescent="0.3">
      <c r="A36" s="66" t="s">
        <v>5</v>
      </c>
      <c r="B36" s="65">
        <f>SUM(Saúde99147[Orçado])</f>
        <v>0</v>
      </c>
      <c r="C36" s="65">
        <f>SUM(Saúde99147[Real])</f>
        <v>0</v>
      </c>
      <c r="D36" s="65">
        <f>SUM(Saúde99147[Diferença])</f>
        <v>0</v>
      </c>
      <c r="E36" s="28"/>
      <c r="F36" s="66" t="s">
        <v>5</v>
      </c>
      <c r="G36" s="65">
        <f>SUM(Alimentação98146[Orçado])</f>
        <v>0</v>
      </c>
      <c r="H36" s="65">
        <f>SUM(Alimentação98146[Real])</f>
        <v>0</v>
      </c>
      <c r="I36" s="65">
        <f>SUM(Alimentação98146[Diferença])</f>
        <v>0</v>
      </c>
    </row>
    <row r="37" spans="1:11" ht="30" customHeight="1" x14ac:dyDescent="0.3">
      <c r="A37" s="32"/>
      <c r="B37" s="33"/>
      <c r="C37" s="33"/>
      <c r="D37" s="34"/>
      <c r="E37" s="28"/>
    </row>
    <row r="38" spans="1:11" ht="30" customHeight="1" x14ac:dyDescent="0.3">
      <c r="A38" s="101" t="s">
        <v>40</v>
      </c>
      <c r="B38" s="101"/>
      <c r="C38" s="101"/>
      <c r="D38" s="101"/>
      <c r="E38" s="28"/>
      <c r="F38" s="75" t="s">
        <v>6</v>
      </c>
      <c r="G38" s="68"/>
      <c r="H38" s="68"/>
      <c r="I38" s="68"/>
    </row>
    <row r="39" spans="1:11" ht="37.950000000000003" customHeight="1" x14ac:dyDescent="0.3">
      <c r="A39" s="24" t="s">
        <v>3</v>
      </c>
      <c r="B39" s="22" t="s">
        <v>16</v>
      </c>
      <c r="C39" s="22" t="s">
        <v>17</v>
      </c>
      <c r="D39" s="23" t="s">
        <v>10</v>
      </c>
      <c r="E39" s="28"/>
      <c r="F39" s="24" t="s">
        <v>3</v>
      </c>
      <c r="G39" s="22" t="s">
        <v>16</v>
      </c>
      <c r="H39" s="22" t="s">
        <v>17</v>
      </c>
      <c r="I39" s="23" t="s">
        <v>10</v>
      </c>
    </row>
    <row r="40" spans="1:11" s="31" customFormat="1" ht="15.6" x14ac:dyDescent="0.3">
      <c r="A40" s="35" t="s">
        <v>33</v>
      </c>
      <c r="B40" s="36"/>
      <c r="C40" s="36"/>
      <c r="D40" s="69">
        <f>Pessoaleducacao100148[[#This Row],[Orçado]]-Pessoaleducacao100148[[#This Row],[Real]]</f>
        <v>0</v>
      </c>
      <c r="E40" s="37"/>
      <c r="F40" s="25" t="s">
        <v>30</v>
      </c>
      <c r="G40" s="26"/>
      <c r="H40" s="26"/>
      <c r="I40" s="69">
        <f>Transporte105153[[#This Row],[Orçado]]-Transporte105153[[#This Row],[Real]]</f>
        <v>0</v>
      </c>
    </row>
    <row r="41" spans="1:11" ht="15.6" x14ac:dyDescent="0.3">
      <c r="A41" s="25" t="s">
        <v>9</v>
      </c>
      <c r="B41" s="26"/>
      <c r="C41" s="26"/>
      <c r="D41" s="69">
        <f>Pessoaleducacao100148[[#This Row],[Orçado]]-Pessoaleducacao100148[[#This Row],[Real]]</f>
        <v>0</v>
      </c>
      <c r="E41" s="28"/>
      <c r="F41" s="25" t="s">
        <v>31</v>
      </c>
      <c r="G41" s="26"/>
      <c r="H41" s="26"/>
      <c r="I41" s="69">
        <f>Transporte105153[[#This Row],[Orçado]]-Transporte105153[[#This Row],[Real]]</f>
        <v>0</v>
      </c>
    </row>
    <row r="42" spans="1:11" ht="15.6" x14ac:dyDescent="0.3">
      <c r="A42" s="25" t="s">
        <v>41</v>
      </c>
      <c r="B42" s="26"/>
      <c r="C42" s="26"/>
      <c r="D42" s="69">
        <f>Pessoaleducacao100148[[#This Row],[Orçado]]-Pessoaleducacao100148[[#This Row],[Real]]</f>
        <v>0</v>
      </c>
      <c r="E42" s="28"/>
      <c r="F42" s="25" t="s">
        <v>32</v>
      </c>
      <c r="G42" s="26"/>
      <c r="H42" s="26"/>
      <c r="I42" s="69">
        <f>Transporte105153[[#This Row],[Orçado]]-Transporte105153[[#This Row],[Real]]</f>
        <v>0</v>
      </c>
    </row>
    <row r="43" spans="1:11" ht="15.6" x14ac:dyDescent="0.3">
      <c r="A43" s="25" t="s">
        <v>42</v>
      </c>
      <c r="B43" s="26"/>
      <c r="C43" s="26"/>
      <c r="D43" s="69">
        <f>Pessoaleducacao100148[[#This Row],[Orçado]]-Pessoaleducacao100148[[#This Row],[Real]]</f>
        <v>0</v>
      </c>
      <c r="E43" s="28"/>
      <c r="F43" s="25"/>
      <c r="G43" s="26"/>
      <c r="H43" s="26"/>
      <c r="I43" s="69">
        <f>Transporte105153[[#This Row],[Orçado]]-Transporte105153[[#This Row],[Real]]</f>
        <v>0</v>
      </c>
    </row>
    <row r="44" spans="1:11" ht="15.6" x14ac:dyDescent="0.3">
      <c r="A44" s="25" t="s">
        <v>43</v>
      </c>
      <c r="B44" s="26"/>
      <c r="C44" s="26"/>
      <c r="D44" s="69">
        <f>Pessoaleducacao100148[[#This Row],[Orçado]]-Pessoaleducacao100148[[#This Row],[Real]]</f>
        <v>0</v>
      </c>
      <c r="E44" s="28"/>
      <c r="F44" s="25"/>
      <c r="G44" s="26"/>
      <c r="H44" s="26"/>
      <c r="I44" s="69">
        <f>Transporte105153[[#This Row],[Orçado]]-Transporte105153[[#This Row],[Real]]</f>
        <v>0</v>
      </c>
    </row>
    <row r="45" spans="1:11" ht="15.6" x14ac:dyDescent="0.3">
      <c r="A45" s="25"/>
      <c r="B45" s="26"/>
      <c r="C45" s="26"/>
      <c r="D45" s="69">
        <f>Pessoaleducacao100148[[#This Row],[Orçado]]-Pessoaleducacao100148[[#This Row],[Real]]</f>
        <v>0</v>
      </c>
      <c r="E45" s="28"/>
      <c r="F45" s="29"/>
      <c r="G45" s="30"/>
      <c r="H45" s="30"/>
      <c r="I45" s="69">
        <f>Transporte105153[[#This Row],[Orçado]]-Transporte105153[[#This Row],[Real]]</f>
        <v>0</v>
      </c>
      <c r="J45" s="38"/>
      <c r="K45" s="38"/>
    </row>
    <row r="46" spans="1:11" ht="15.6" x14ac:dyDescent="0.3">
      <c r="A46" s="39" t="s">
        <v>4</v>
      </c>
      <c r="B46" s="40"/>
      <c r="C46" s="40"/>
      <c r="D46" s="69">
        <f>Pessoaleducacao100148[[#This Row],[Orçado]]-Pessoaleducacao100148[[#This Row],[Real]]</f>
        <v>0</v>
      </c>
      <c r="E46" s="28"/>
      <c r="F46" s="25" t="s">
        <v>4</v>
      </c>
      <c r="G46" s="26"/>
      <c r="H46" s="26"/>
      <c r="I46" s="69">
        <f>Transporte105153[[#This Row],[Orçado]]-Transporte105153[[#This Row],[Real]]</f>
        <v>0</v>
      </c>
      <c r="J46" s="38"/>
      <c r="K46" s="38"/>
    </row>
    <row r="47" spans="1:11" ht="18" x14ac:dyDescent="0.3">
      <c r="A47" s="66" t="s">
        <v>5</v>
      </c>
      <c r="B47" s="65">
        <f>SUM(Pessoaleducacao100148[Orçado])</f>
        <v>0</v>
      </c>
      <c r="C47" s="65">
        <f>SUM(Pessoaleducacao100148[Real])</f>
        <v>0</v>
      </c>
      <c r="D47" s="65">
        <f>SUM(Pessoaleducacao100148[Diferença])</f>
        <v>0</v>
      </c>
      <c r="E47" s="28"/>
      <c r="F47" s="66" t="s">
        <v>5</v>
      </c>
      <c r="G47" s="65">
        <f>SUM(Transporte105153[Orçado])</f>
        <v>0</v>
      </c>
      <c r="H47" s="65">
        <f>SUM(Transporte105153[Real])</f>
        <v>0</v>
      </c>
      <c r="I47" s="65">
        <f>SUM(Transporte105153[Diferença])</f>
        <v>0</v>
      </c>
      <c r="J47" s="38"/>
      <c r="K47" s="38"/>
    </row>
    <row r="48" spans="1:11" s="31" customFormat="1" ht="30" customHeight="1" x14ac:dyDescent="0.3">
      <c r="A48" s="99"/>
      <c r="B48" s="99"/>
      <c r="C48" s="99"/>
      <c r="D48" s="99"/>
      <c r="E48" s="37"/>
      <c r="F48" s="5"/>
      <c r="G48" s="5"/>
      <c r="H48" s="5"/>
      <c r="I48" s="5"/>
    </row>
    <row r="49" spans="1:9" ht="30" customHeight="1" x14ac:dyDescent="0.3">
      <c r="A49" s="75" t="s">
        <v>11</v>
      </c>
      <c r="B49" s="68"/>
      <c r="C49" s="68"/>
      <c r="D49" s="68"/>
      <c r="E49" s="28"/>
      <c r="F49" s="75" t="s">
        <v>4</v>
      </c>
      <c r="G49" s="68"/>
      <c r="H49" s="68"/>
      <c r="I49" s="68"/>
    </row>
    <row r="50" spans="1:9" ht="30" customHeight="1" x14ac:dyDescent="0.3">
      <c r="A50" s="41" t="s">
        <v>3</v>
      </c>
      <c r="B50" s="22" t="s">
        <v>16</v>
      </c>
      <c r="C50" s="22" t="s">
        <v>17</v>
      </c>
      <c r="D50" s="23" t="s">
        <v>10</v>
      </c>
      <c r="E50" s="28"/>
      <c r="F50" s="41" t="s">
        <v>3</v>
      </c>
      <c r="G50" s="22" t="s">
        <v>16</v>
      </c>
      <c r="H50" s="22" t="s">
        <v>17</v>
      </c>
      <c r="I50" s="23" t="s">
        <v>10</v>
      </c>
    </row>
    <row r="51" spans="1:9" ht="15.6" customHeight="1" x14ac:dyDescent="0.3">
      <c r="A51" s="35" t="s">
        <v>19</v>
      </c>
      <c r="B51" s="36"/>
      <c r="C51" s="36"/>
      <c r="D51" s="69">
        <f>Investimentos104152[[#This Row],[Orçado]]-Investimentos104152[[#This Row],[Real]]</f>
        <v>0</v>
      </c>
      <c r="E51" s="28"/>
      <c r="F51" s="35" t="s">
        <v>38</v>
      </c>
      <c r="G51" s="36"/>
      <c r="H51" s="36"/>
      <c r="I51" s="69">
        <f>Outros103151[[#This Row],[Orçado]]-Outros103151[[#This Row],[Real]]</f>
        <v>0</v>
      </c>
    </row>
    <row r="52" spans="1:9" ht="15.6" customHeight="1" x14ac:dyDescent="0.3">
      <c r="A52" s="25" t="s">
        <v>20</v>
      </c>
      <c r="B52" s="30"/>
      <c r="C52" s="30"/>
      <c r="D52" s="69">
        <f>Investimentos104152[[#This Row],[Orçado]]-Investimentos104152[[#This Row],[Real]]</f>
        <v>0</v>
      </c>
      <c r="E52" s="28"/>
      <c r="F52" s="25" t="s">
        <v>39</v>
      </c>
      <c r="G52" s="30"/>
      <c r="H52" s="30"/>
      <c r="I52" s="69">
        <f>Outros103151[[#This Row],[Orçado]]-Outros103151[[#This Row],[Real]]</f>
        <v>0</v>
      </c>
    </row>
    <row r="53" spans="1:9" ht="15.6" customHeight="1" x14ac:dyDescent="0.3">
      <c r="A53" s="25" t="s">
        <v>11</v>
      </c>
      <c r="B53" s="30"/>
      <c r="C53" s="30"/>
      <c r="D53" s="69">
        <f>Investimentos104152[[#This Row],[Orçado]]-Investimentos104152[[#This Row],[Real]]</f>
        <v>0</v>
      </c>
      <c r="E53" s="28"/>
      <c r="F53" s="25"/>
      <c r="G53" s="30"/>
      <c r="H53" s="30"/>
      <c r="I53" s="69">
        <f>Outros103151[[#This Row],[Orçado]]-Outros103151[[#This Row],[Real]]</f>
        <v>0</v>
      </c>
    </row>
    <row r="54" spans="1:9" ht="15.6" customHeight="1" x14ac:dyDescent="0.3">
      <c r="A54" s="25"/>
      <c r="B54" s="26"/>
      <c r="C54" s="26"/>
      <c r="D54" s="69">
        <f>Investimentos104152[[#This Row],[Orçado]]-Investimentos104152[[#This Row],[Real]]</f>
        <v>0</v>
      </c>
      <c r="E54" s="28"/>
      <c r="F54" s="25"/>
      <c r="G54" s="26"/>
      <c r="H54" s="26"/>
      <c r="I54" s="69">
        <f>Outros103151[[#This Row],[Orçado]]-Outros103151[[#This Row],[Real]]</f>
        <v>0</v>
      </c>
    </row>
    <row r="55" spans="1:9" s="31" customFormat="1" ht="15.6" customHeight="1" x14ac:dyDescent="0.3">
      <c r="A55" s="29"/>
      <c r="B55" s="30"/>
      <c r="C55" s="30"/>
      <c r="D55" s="69">
        <f>Investimentos104152[[#This Row],[Orçado]]-Investimentos104152[[#This Row],[Real]]</f>
        <v>0</v>
      </c>
      <c r="E55" s="37"/>
      <c r="F55" s="29"/>
      <c r="G55" s="30"/>
      <c r="H55" s="30"/>
      <c r="I55" s="69">
        <f>Outros103151[[#This Row],[Orçado]]-Outros103151[[#This Row],[Real]]</f>
        <v>0</v>
      </c>
    </row>
    <row r="56" spans="1:9" s="31" customFormat="1" ht="15.6" x14ac:dyDescent="0.3">
      <c r="A56" s="29"/>
      <c r="B56" s="30"/>
      <c r="C56" s="30"/>
      <c r="D56" s="69">
        <f>Investimentos104152[[#This Row],[Orçado]]-Investimentos104152[[#This Row],[Real]]</f>
        <v>0</v>
      </c>
      <c r="E56" s="37"/>
      <c r="F56" s="29"/>
      <c r="G56" s="30"/>
      <c r="H56" s="30"/>
      <c r="I56" s="69">
        <f>Outros103151[[#This Row],[Orçado]]-Outros103151[[#This Row],[Real]]</f>
        <v>0</v>
      </c>
    </row>
    <row r="57" spans="1:9" s="31" customFormat="1" ht="15.6" x14ac:dyDescent="0.3">
      <c r="A57" s="25" t="s">
        <v>4</v>
      </c>
      <c r="B57" s="26"/>
      <c r="C57" s="26"/>
      <c r="D57" s="69">
        <f>Investimentos104152[[#This Row],[Orçado]]-Investimentos104152[[#This Row],[Real]]</f>
        <v>0</v>
      </c>
      <c r="E57" s="37"/>
      <c r="F57" s="25" t="s">
        <v>4</v>
      </c>
      <c r="G57" s="26"/>
      <c r="H57" s="26"/>
      <c r="I57" s="69">
        <f>Outros103151[[#This Row],[Orçado]]-Outros103151[[#This Row],[Real]]</f>
        <v>0</v>
      </c>
    </row>
    <row r="58" spans="1:9" ht="18" x14ac:dyDescent="0.3">
      <c r="A58" s="64" t="s">
        <v>5</v>
      </c>
      <c r="B58" s="65">
        <f>SUM(Investimentos104152[Orçado])</f>
        <v>0</v>
      </c>
      <c r="C58" s="65">
        <f>SUM(Investimentos104152[Real])</f>
        <v>0</v>
      </c>
      <c r="D58" s="65">
        <f>SUM(Investimentos104152[Diferença])</f>
        <v>0</v>
      </c>
      <c r="E58" s="28"/>
      <c r="F58" s="64" t="s">
        <v>5</v>
      </c>
      <c r="G58" s="65">
        <f>SUM(Outros103151[Orçado])</f>
        <v>0</v>
      </c>
      <c r="H58" s="65">
        <f>SUM(Outros103151[Real])</f>
        <v>0</v>
      </c>
      <c r="I58" s="65">
        <f>SUM(Outros103151[Diferença])</f>
        <v>0</v>
      </c>
    </row>
    <row r="59" spans="1:9" ht="30" customHeight="1" x14ac:dyDescent="0.3">
      <c r="E59" s="28"/>
      <c r="F59" s="42"/>
      <c r="G59" s="43"/>
      <c r="H59" s="43"/>
      <c r="I59" s="44"/>
    </row>
    <row r="60" spans="1:9" ht="30" customHeight="1" x14ac:dyDescent="0.3">
      <c r="A60" s="42"/>
      <c r="B60" s="45"/>
      <c r="C60" s="45"/>
      <c r="D60" s="44"/>
      <c r="E60" s="28"/>
      <c r="F60" s="42"/>
      <c r="G60" s="45"/>
      <c r="H60" s="45"/>
      <c r="I60" s="44"/>
    </row>
    <row r="61" spans="1:9" ht="30" customHeight="1" x14ac:dyDescent="0.3">
      <c r="A61" s="98"/>
      <c r="B61" s="98"/>
      <c r="C61" s="98"/>
      <c r="D61" s="98"/>
      <c r="E61" s="28"/>
      <c r="F61" s="46"/>
      <c r="G61" s="33"/>
      <c r="H61" s="33"/>
      <c r="I61" s="34"/>
    </row>
    <row r="62" spans="1:9" ht="30" customHeight="1" x14ac:dyDescent="0.3">
      <c r="E62" s="28"/>
      <c r="F62" s="46"/>
      <c r="G62" s="33"/>
      <c r="H62" s="33"/>
      <c r="I62" s="34"/>
    </row>
    <row r="63" spans="1:9" ht="30" customHeight="1" x14ac:dyDescent="0.3">
      <c r="E63" s="28"/>
      <c r="F63" s="47"/>
      <c r="G63" s="33"/>
      <c r="H63" s="33"/>
      <c r="I63" s="33"/>
    </row>
    <row r="64" spans="1:9" ht="30" customHeight="1" x14ac:dyDescent="0.3">
      <c r="E64" s="28"/>
      <c r="F64" s="48"/>
      <c r="G64" s="48"/>
      <c r="H64" s="48"/>
      <c r="I64" s="48"/>
    </row>
    <row r="65" spans="5:5" ht="24.9" customHeight="1" x14ac:dyDescent="0.3">
      <c r="E65" s="28"/>
    </row>
    <row r="66" spans="5:5" ht="24.9" customHeight="1" x14ac:dyDescent="0.3">
      <c r="E66" s="28"/>
    </row>
    <row r="67" spans="5:5" ht="24.9" customHeight="1" x14ac:dyDescent="0.3">
      <c r="E67" s="28"/>
    </row>
    <row r="68" spans="5:5" ht="24.9" customHeight="1" x14ac:dyDescent="0.3">
      <c r="E68" s="28"/>
    </row>
    <row r="69" spans="5:5" ht="24.9" customHeight="1" x14ac:dyDescent="0.3">
      <c r="E69" s="28"/>
    </row>
  </sheetData>
  <sheetProtection algorithmName="SHA-512" hashValue="EJhzXPOAh53xiB3KWIe3Ep02tbQdRBmypv/XawBqZw4PPycXPHhyb4TOAybYblAflZqury3EBPy9p08s3+P7Hg==" saltValue="0qA1p4EXzPJ4t4b7cVEFHA==" spinCount="100000" sheet="1" objects="1" scenarios="1" selectLockedCells="1"/>
  <mergeCells count="17">
    <mergeCell ref="A48:D48"/>
    <mergeCell ref="A61:D61"/>
    <mergeCell ref="F6:F7"/>
    <mergeCell ref="A38:D38"/>
    <mergeCell ref="H2:I2"/>
    <mergeCell ref="A16:D16"/>
    <mergeCell ref="A2:G2"/>
    <mergeCell ref="A4:B4"/>
    <mergeCell ref="A27:D27"/>
    <mergeCell ref="A11:B11"/>
    <mergeCell ref="D12:F13"/>
    <mergeCell ref="G12:G13"/>
    <mergeCell ref="D6:E7"/>
    <mergeCell ref="D8:E9"/>
    <mergeCell ref="F8:F9"/>
    <mergeCell ref="H4:I10"/>
    <mergeCell ref="H13:I15"/>
  </mergeCells>
  <conditionalFormatting sqref="J6:J9">
    <cfRule type="containsText" dxfId="579" priority="5" operator="containsText" text="Atenção! Cuidado com sua saúde financeira">
      <formula>NOT(ISERROR(SEARCH("Atenção! Cuidado com sua saúde financeira",J6)))</formula>
    </cfRule>
  </conditionalFormatting>
  <conditionalFormatting sqref="C14">
    <cfRule type="containsText" dxfId="578" priority="3" operator="containsText" text="Você está dentro do orçamento">
      <formula>NOT(ISERROR(SEARCH("Você está dentro do orçamento",C14)))</formula>
    </cfRule>
    <cfRule type="containsText" dxfId="577" priority="4" operator="containsText" text="Você está fora do orçamento">
      <formula>NOT(ISERROR(SEARCH("Você está fora do orçamento",C14)))</formula>
    </cfRule>
  </conditionalFormatting>
  <conditionalFormatting sqref="H4 J4:L10">
    <cfRule type="containsText" dxfId="576" priority="6"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conditionalFormatting sqref="H4">
    <cfRule type="containsText" dxfId="575" priority="1" stopIfTrue="1" operator="containsText" text="Atenção! Cuidado com sua saúde financeira">
      <formula>NOT(ISERROR(SEARCH("Atenção! Cuidado com sua saúde financeira",H4)))</formula>
    </cfRule>
    <cfRule type="containsText" dxfId="574" priority="2" stopIfTrue="1" operator="containsText" text="Parabéns! Neste mês, você conseguiu poupar! Por isso, o próximo passo dos 3 pilares da educação financeira é INVESTIR. INVISTA na Mais Previdência por meio de um aporte esporádico e garanta a sua aposentadoria de verdade!">
      <formula>NOT(ISERROR(SEARCH("Parabéns! Neste mês, você conseguiu poupar! Por isso, o próximo passo dos 3 pilares da educação financeira é INVESTIR. INVISTA na Mais Previdência por meio de um aporte esporádico e garanta a sua aposentadoria de verdade!",H4)))</formula>
    </cfRule>
  </conditionalFormatting>
  <printOptions horizontalCentered="1"/>
  <pageMargins left="0.4" right="0.4" top="0.4" bottom="0.4" header="0.3" footer="0.5"/>
  <pageSetup paperSize="9" fitToHeight="0" orientation="portrait" r:id="rId1"/>
  <headerFooter differentFirst="1">
    <oddFooter>Page &amp;P of &amp;N</oddFooter>
  </headerFooter>
  <ignoredErrors>
    <ignoredError sqref="B9" unlockedFormula="1"/>
  </ignoredErrors>
  <drawing r:id="rId2"/>
  <tableParts count="8">
    <tablePart r:id="rId3"/>
    <tablePart r:id="rId4"/>
    <tablePart r:id="rId5"/>
    <tablePart r:id="rId6"/>
    <tablePart r:id="rId7"/>
    <tablePart r:id="rId8"/>
    <tablePart r:id="rId9"/>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517F70-2992-44DE-95FD-5B6D81A222C4}">
  <ds:schemaRefs>
    <ds:schemaRef ds:uri="http://schemas.microsoft.com/sharepoint/v3/contenttype/forms"/>
  </ds:schemaRefs>
</ds:datastoreItem>
</file>

<file path=customXml/itemProps2.xml><?xml version="1.0" encoding="utf-8"?>
<ds:datastoreItem xmlns:ds="http://schemas.openxmlformats.org/officeDocument/2006/customXml" ds:itemID="{62ECAD3B-EAEA-4383-94BC-FD59E091E898}">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A4E1FEA6-248E-4BA3-B2AF-C03B3B10D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TM33398600</Template>
  <Application>Microsoft Excel</Application>
  <DocSecurity>0</DocSecurity>
  <ScaleCrop>false</ScaleCrop>
  <HeadingPairs>
    <vt:vector size="2" baseType="variant">
      <vt:variant>
        <vt:lpstr>Planilhas</vt:lpstr>
      </vt:variant>
      <vt:variant>
        <vt:i4>14</vt:i4>
      </vt:variant>
    </vt:vector>
  </HeadingPairs>
  <TitlesOfParts>
    <vt:vector size="14" baseType="lpstr">
      <vt:lpstr>Início</vt:lpstr>
      <vt:lpstr>Jan</vt:lpstr>
      <vt:lpstr>Fev</vt:lpstr>
      <vt:lpstr>Mar</vt:lpstr>
      <vt:lpstr>Abr</vt:lpstr>
      <vt:lpstr>Mai</vt:lpstr>
      <vt:lpstr>Jun</vt:lpstr>
      <vt:lpstr>Jul</vt:lpstr>
      <vt:lpstr>Ago</vt:lpstr>
      <vt:lpstr>Set</vt:lpstr>
      <vt:lpstr>Out</vt:lpstr>
      <vt:lpstr>Nov</vt:lpstr>
      <vt:lpstr>Dez</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2020-10-16T05:02:30Z</dcterms:created>
  <dcterms:modified xsi:type="dcterms:W3CDTF">2022-08-18T14:29:33Z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